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65" windowWidth="20415" windowHeight="13695" activeTab="0"/>
  </bookViews>
  <sheets>
    <sheet name="SRA" sheetId="1" r:id="rId1"/>
    <sheet name="Version" sheetId="2" r:id="rId2"/>
    <sheet name="Calc" sheetId="3" state="hidden" r:id="rId3"/>
  </sheets>
  <definedNames>
    <definedName name="NB">'Calc'!$Y$48</definedName>
    <definedName name="NS">'Calc'!$AC$19</definedName>
    <definedName name="NTa">'Calc'!$Q$19</definedName>
    <definedName name="NTb">'SRA'!#REF!</definedName>
    <definedName name="Ntota">'Calc'!$Q$20</definedName>
    <definedName name="Ntotb">'SRA'!#REF!</definedName>
    <definedName name="_xlnm.Print_Area" localSheetId="0">'SRA'!$A$1:$N$33</definedName>
    <definedName name="SlopeB">'Calc'!$Q$35</definedName>
    <definedName name="SlopeS">'Calc'!$Q$33</definedName>
    <definedName name="SlopeTa">'Calc'!$Q$34</definedName>
    <definedName name="SlopeTb">'SRA'!#REF!</definedName>
    <definedName name="SumXB">'Calc'!$Y$50</definedName>
    <definedName name="SumXBXB">'Calc'!$Q$27</definedName>
    <definedName name="SumXBY">'Calc'!$Q$32</definedName>
    <definedName name="SumXS">'Calc'!$AC$20</definedName>
    <definedName name="SumXSXB">'Calc'!$Q$28</definedName>
    <definedName name="SumXSXS">'Calc'!$Q$29</definedName>
    <definedName name="SumXSXTa">'Calc'!$Q$25</definedName>
    <definedName name="SumXSXTb">'SRA'!#REF!</definedName>
    <definedName name="SumXSY">'Calc'!$Q$31</definedName>
    <definedName name="SumXTa">'Calc'!$Q$21</definedName>
    <definedName name="SumXTaXB">'Calc'!$Q$26</definedName>
    <definedName name="SumXTaXTa">'Calc'!$Q$24</definedName>
    <definedName name="SumXTaY">'Calc'!$Q$30</definedName>
    <definedName name="SumXTb">'SRA'!#REF!</definedName>
    <definedName name="SumXTbXB">'SRA'!#REF!</definedName>
    <definedName name="SumXTbXTb">'SRA'!#REF!</definedName>
    <definedName name="SumXTbY">'SRA'!#REF!</definedName>
    <definedName name="SumYB">'Calc'!$Y$49</definedName>
    <definedName name="SumYS">'Calc'!$AC$21</definedName>
    <definedName name="SumYTa">'Calc'!$Q$22</definedName>
    <definedName name="SumYTb">'SRA'!#REF!</definedName>
    <definedName name="SumYtota">'Calc'!$Q$23</definedName>
    <definedName name="SumYtotb">'SRA'!#REF!</definedName>
    <definedName name="Sxsxtb">'SRA'!#REF!</definedName>
    <definedName name="Sxtb">'SRA'!#REF!</definedName>
    <definedName name="Sxtbxb">'SRA'!#REF!</definedName>
    <definedName name="Sxtbxtb">'SRA'!#REF!</definedName>
    <definedName name="Sytb">'SRA'!#REF!</definedName>
    <definedName name="Sytota">'Calc'!$Q$23</definedName>
    <definedName name="Sytotb">'SRA'!#REF!</definedName>
    <definedName name="Xs">'Calc'!$AC$18</definedName>
    <definedName name="Xta">'Calc'!$Q$18</definedName>
  </definedNames>
  <calcPr fullCalcOnLoad="1"/>
</workbook>
</file>

<file path=xl/sharedStrings.xml><?xml version="1.0" encoding="utf-8"?>
<sst xmlns="http://schemas.openxmlformats.org/spreadsheetml/2006/main" count="191" uniqueCount="140">
  <si>
    <t>Sum doses test</t>
  </si>
  <si>
    <t>Sum reponses standard</t>
  </si>
  <si>
    <t>Sum responses test</t>
  </si>
  <si>
    <t>Responses standard</t>
  </si>
  <si>
    <t>Responses test</t>
  </si>
  <si>
    <t>Doses test</t>
  </si>
  <si>
    <t>Sum doses standard</t>
  </si>
  <si>
    <t>Sum reponses</t>
  </si>
  <si>
    <t>Number responses standard</t>
  </si>
  <si>
    <t>Number responses test</t>
  </si>
  <si>
    <t>Number total responses</t>
  </si>
  <si>
    <t>Sum of squares standard</t>
  </si>
  <si>
    <t>Sum of squares test</t>
  </si>
  <si>
    <t>Sum of squares standard and test</t>
  </si>
  <si>
    <t>Responses blanks</t>
  </si>
  <si>
    <t>Sum of squares standard and blank</t>
  </si>
  <si>
    <t>Sum of squares blank</t>
  </si>
  <si>
    <t>Sum responses blank</t>
  </si>
  <si>
    <t>Sum doses blank</t>
  </si>
  <si>
    <t>Number responses blank</t>
  </si>
  <si>
    <t>Sum of squares test and blank</t>
  </si>
  <si>
    <t>Product of deviation test</t>
  </si>
  <si>
    <t>Product of deviation standard</t>
  </si>
  <si>
    <t>Product of deviation blank</t>
  </si>
  <si>
    <t>Standard</t>
  </si>
  <si>
    <t>Potency</t>
  </si>
  <si>
    <t>Matrix</t>
  </si>
  <si>
    <t>Inverse matrix</t>
  </si>
  <si>
    <t>Ntota</t>
  </si>
  <si>
    <t>NTa</t>
  </si>
  <si>
    <t>SlopeTa</t>
  </si>
  <si>
    <t>NS</t>
  </si>
  <si>
    <t>NB</t>
  </si>
  <si>
    <t>SumXTa</t>
  </si>
  <si>
    <t>SumYTa</t>
  </si>
  <si>
    <t>SumXS</t>
  </si>
  <si>
    <t>SumYS</t>
  </si>
  <si>
    <t>SumYB</t>
  </si>
  <si>
    <t>SumXB</t>
  </si>
  <si>
    <t>SumYtota</t>
  </si>
  <si>
    <t>SumXTaXTa</t>
  </si>
  <si>
    <t>SumXSXTa</t>
  </si>
  <si>
    <t>SumXTaXB</t>
  </si>
  <si>
    <t>SumXTaY</t>
  </si>
  <si>
    <t>SumXSY</t>
  </si>
  <si>
    <t>SumXBY</t>
  </si>
  <si>
    <t>SumXBXB</t>
  </si>
  <si>
    <t>SumXSXB</t>
  </si>
  <si>
    <t>SumXSXS</t>
  </si>
  <si>
    <t>SlopeSa</t>
  </si>
  <si>
    <t>SlopeBa</t>
  </si>
  <si>
    <t>Regression</t>
  </si>
  <si>
    <t xml:space="preserve">Adjustment for mean </t>
  </si>
  <si>
    <t>Nature of variation</t>
  </si>
  <si>
    <t>d.f.</t>
  </si>
  <si>
    <t>Sum of squares</t>
  </si>
  <si>
    <t xml:space="preserve">Mean </t>
  </si>
  <si>
    <t>square</t>
  </si>
  <si>
    <t>Between doses</t>
  </si>
  <si>
    <t>Error</t>
  </si>
  <si>
    <t>Total</t>
  </si>
  <si>
    <t>Blanks</t>
  </si>
  <si>
    <t>Curvature</t>
  </si>
  <si>
    <t>Intersection</t>
  </si>
  <si>
    <t>ANALYSIS OF VARIANCE</t>
  </si>
  <si>
    <t>Number of doses test</t>
  </si>
  <si>
    <t xml:space="preserve">Responses </t>
  </si>
  <si>
    <t xml:space="preserve">Doses </t>
  </si>
  <si>
    <t>dose</t>
  </si>
  <si>
    <t>Test</t>
  </si>
  <si>
    <t>y1</t>
  </si>
  <si>
    <t>y2</t>
  </si>
  <si>
    <t>y3</t>
  </si>
  <si>
    <t>y4</t>
  </si>
  <si>
    <t>y(calc)</t>
  </si>
  <si>
    <t xml:space="preserve">Average responses standard </t>
  </si>
  <si>
    <t>Average responses blank</t>
  </si>
  <si>
    <t xml:space="preserve">Average doses standard </t>
  </si>
  <si>
    <t>Average doses blank</t>
  </si>
  <si>
    <t>Responses all</t>
  </si>
  <si>
    <t>Responses</t>
  </si>
  <si>
    <t>Doses AND responses</t>
  </si>
  <si>
    <t>Dose AND responses</t>
  </si>
  <si>
    <t>Intercept</t>
  </si>
  <si>
    <t>Slope standard</t>
  </si>
  <si>
    <t>Slope test</t>
  </si>
  <si>
    <t>Slope blank</t>
  </si>
  <si>
    <t>Average doses test</t>
  </si>
  <si>
    <t>Average responses test</t>
  </si>
  <si>
    <t>Number of doses blank</t>
  </si>
  <si>
    <t>XB</t>
  </si>
  <si>
    <t>XS</t>
  </si>
  <si>
    <t>XTa</t>
  </si>
  <si>
    <t>Doses standard</t>
  </si>
  <si>
    <t>Doses blanks</t>
  </si>
  <si>
    <t>R</t>
  </si>
  <si>
    <t>Ratio test/standard</t>
  </si>
  <si>
    <t>Sum Y^2</t>
  </si>
  <si>
    <t>Average Sum Y^2</t>
  </si>
  <si>
    <t>Slope test (without blank)</t>
  </si>
  <si>
    <t>Slope standard (without blank)</t>
  </si>
  <si>
    <t>SlopeSa(-Bl)</t>
  </si>
  <si>
    <t>SlopeTa(-Bl)</t>
  </si>
  <si>
    <t>F95%</t>
  </si>
  <si>
    <t>Norm</t>
  </si>
  <si>
    <t>g</t>
  </si>
  <si>
    <t>R upper</t>
  </si>
  <si>
    <t>R lower</t>
  </si>
  <si>
    <t>t</t>
  </si>
  <si>
    <t>graph</t>
  </si>
  <si>
    <t>blanks</t>
  </si>
  <si>
    <t>Number of doses standard</t>
  </si>
  <si>
    <t>3 x 3</t>
  </si>
  <si>
    <t>2 x 2</t>
  </si>
  <si>
    <t xml:space="preserve"> </t>
  </si>
  <si>
    <t>Example from</t>
  </si>
  <si>
    <t>Statistical Method in biological assay</t>
  </si>
  <si>
    <t>Ok</t>
  </si>
  <si>
    <t>Date:</t>
  </si>
  <si>
    <t>Sample name:</t>
  </si>
  <si>
    <t>SRA 27Feb2009</t>
  </si>
  <si>
    <t>F-calc</t>
  </si>
  <si>
    <t>F-critical</t>
  </si>
  <si>
    <t>Predilution sample</t>
  </si>
  <si>
    <t>Standard name</t>
  </si>
  <si>
    <t>Check data for slope ratio assay</t>
  </si>
  <si>
    <t xml:space="preserve">Third edition </t>
  </si>
  <si>
    <t>David J.Finney pag 150</t>
  </si>
  <si>
    <t>Worksheet adapted and checked against routinely used calculation method</t>
  </si>
  <si>
    <t xml:space="preserve">Checked against original source: </t>
  </si>
  <si>
    <t>Ed Nieuwenhuys, 2009</t>
  </si>
  <si>
    <t>Version SRA 28 feb 2009</t>
  </si>
  <si>
    <t xml:space="preserve">Macros and not enabled !! --&gt; Set security low to enable macros to run </t>
  </si>
  <si>
    <t>Italic and/or Bold = omit point, Press F2 and press Enter to recalculate the sheet</t>
  </si>
  <si>
    <t>SRA 15 mar 2009</t>
  </si>
  <si>
    <t>A bold or italic entry will not be used in calculations</t>
  </si>
  <si>
    <t>Macro running needs to be enabled in this version</t>
  </si>
  <si>
    <t>SRA V31Mrt2009</t>
  </si>
  <si>
    <t>SRA 31mrt</t>
  </si>
  <si>
    <t>False reference in formulae corrected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</si>
</sst>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0"/>
    <numFmt numFmtId="168" formatCode="0.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b/>
      <sz val="12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6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 quotePrefix="1">
      <alignment horizontal="left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 quotePrefix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2" fontId="0" fillId="0" borderId="1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6" xfId="0" applyFill="1" applyBorder="1" applyAlignment="1" quotePrefix="1">
      <alignment horizontal="left" vertical="center"/>
    </xf>
    <xf numFmtId="0" fontId="0" fillId="0" borderId="17" xfId="0" applyFill="1" applyBorder="1" applyAlignment="1" quotePrefix="1">
      <alignment horizontal="left" vertical="center"/>
    </xf>
    <xf numFmtId="2" fontId="0" fillId="0" borderId="18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19" xfId="0" applyFill="1" applyBorder="1" applyAlignment="1" quotePrefix="1">
      <alignment horizontal="left" vertical="center"/>
    </xf>
    <xf numFmtId="0" fontId="0" fillId="0" borderId="20" xfId="0" applyFill="1" applyBorder="1" applyAlignment="1">
      <alignment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 quotePrefix="1">
      <alignment horizontal="left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left" vertical="center"/>
    </xf>
    <xf numFmtId="0" fontId="0" fillId="0" borderId="24" xfId="0" applyFill="1" applyBorder="1" applyAlignment="1">
      <alignment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166" fontId="0" fillId="0" borderId="25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0" fillId="0" borderId="27" xfId="0" applyFill="1" applyBorder="1" applyAlignment="1" quotePrefix="1">
      <alignment horizontal="left" vertical="center"/>
    </xf>
    <xf numFmtId="166" fontId="0" fillId="0" borderId="23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165" fontId="0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166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 quotePrefix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2" fontId="0" fillId="0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 quotePrefix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4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1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 quotePrefix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68" fontId="0" fillId="0" borderId="2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166" fontId="0" fillId="33" borderId="0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6" xfId="0" applyFill="1" applyBorder="1" applyAlignment="1">
      <alignment horizontal="left" vertical="center"/>
    </xf>
    <xf numFmtId="0" fontId="0" fillId="33" borderId="54" xfId="0" applyFill="1" applyBorder="1" applyAlignment="1">
      <alignment vertical="center"/>
    </xf>
    <xf numFmtId="0" fontId="0" fillId="0" borderId="38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34" xfId="0" applyFill="1" applyBorder="1" applyAlignment="1" quotePrefix="1">
      <alignment horizontal="left" vertical="center"/>
    </xf>
    <xf numFmtId="0" fontId="0" fillId="33" borderId="42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4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6" fontId="0" fillId="33" borderId="0" xfId="0" applyNumberFormat="1" applyFill="1" applyAlignment="1">
      <alignment horizontal="center" vertical="center"/>
    </xf>
    <xf numFmtId="2" fontId="0" fillId="33" borderId="29" xfId="0" applyNumberFormat="1" applyFill="1" applyBorder="1" applyAlignment="1">
      <alignment horizontal="center" vertical="center"/>
    </xf>
    <xf numFmtId="2" fontId="4" fillId="33" borderId="29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vertical="center"/>
    </xf>
    <xf numFmtId="0" fontId="0" fillId="33" borderId="57" xfId="0" applyFill="1" applyBorder="1" applyAlignment="1">
      <alignment horizontal="left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9" fontId="0" fillId="33" borderId="60" xfId="0" applyNumberFormat="1" applyFill="1" applyBorder="1" applyAlignment="1">
      <alignment horizontal="center" vertical="center"/>
    </xf>
    <xf numFmtId="9" fontId="0" fillId="33" borderId="61" xfId="0" applyNumberFormat="1" applyFill="1" applyBorder="1" applyAlignment="1">
      <alignment horizontal="center" vertical="center"/>
    </xf>
    <xf numFmtId="0" fontId="0" fillId="33" borderId="27" xfId="0" applyFill="1" applyBorder="1" applyAlignment="1" quotePrefix="1">
      <alignment horizontal="right" vertical="center"/>
    </xf>
    <xf numFmtId="0" fontId="0" fillId="33" borderId="54" xfId="0" applyFill="1" applyBorder="1" applyAlignment="1">
      <alignment horizontal="right" vertical="center"/>
    </xf>
    <xf numFmtId="2" fontId="4" fillId="33" borderId="32" xfId="0" applyNumberFormat="1" applyFon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4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0" xfId="0" applyFill="1" applyBorder="1" applyAlignment="1">
      <alignment/>
    </xf>
    <xf numFmtId="166" fontId="0" fillId="33" borderId="62" xfId="0" applyNumberFormat="1" applyFill="1" applyBorder="1" applyAlignment="1">
      <alignment horizontal="center" vertical="center"/>
    </xf>
    <xf numFmtId="1" fontId="0" fillId="33" borderId="6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right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right"/>
    </xf>
    <xf numFmtId="49" fontId="0" fillId="33" borderId="42" xfId="0" applyNumberFormat="1" applyFont="1" applyFill="1" applyBorder="1" applyAlignment="1">
      <alignment/>
    </xf>
    <xf numFmtId="49" fontId="4" fillId="33" borderId="42" xfId="0" applyNumberFormat="1" applyFont="1" applyFill="1" applyBorder="1" applyAlignment="1" applyProtection="1">
      <alignment horizontal="left"/>
      <protection/>
    </xf>
    <xf numFmtId="49" fontId="0" fillId="33" borderId="44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>
      <alignment horizontal="left"/>
    </xf>
    <xf numFmtId="49" fontId="0" fillId="33" borderId="23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23" xfId="0" applyNumberFormat="1" applyFont="1" applyFill="1" applyBorder="1" applyAlignment="1">
      <alignment/>
    </xf>
    <xf numFmtId="0" fontId="0" fillId="33" borderId="54" xfId="0" applyFont="1" applyFill="1" applyBorder="1" applyAlignment="1" applyProtection="1">
      <alignment horizontal="left"/>
      <protection/>
    </xf>
    <xf numFmtId="0" fontId="8" fillId="33" borderId="38" xfId="0" applyFont="1" applyFill="1" applyBorder="1" applyAlignment="1">
      <alignment/>
    </xf>
    <xf numFmtId="49" fontId="0" fillId="33" borderId="38" xfId="0" applyNumberFormat="1" applyFont="1" applyFill="1" applyBorder="1" applyAlignment="1" applyProtection="1">
      <alignment horizontal="left"/>
      <protection/>
    </xf>
    <xf numFmtId="49" fontId="4" fillId="33" borderId="38" xfId="0" applyNumberFormat="1" applyFont="1" applyFill="1" applyBorder="1" applyAlignment="1">
      <alignment/>
    </xf>
    <xf numFmtId="49" fontId="0" fillId="33" borderId="40" xfId="0" applyNumberFormat="1" applyFont="1" applyFill="1" applyBorder="1" applyAlignment="1">
      <alignment/>
    </xf>
    <xf numFmtId="0" fontId="2" fillId="33" borderId="62" xfId="0" applyFont="1" applyFill="1" applyBorder="1" applyAlignment="1" quotePrefix="1">
      <alignment horizontal="center" vertical="center"/>
    </xf>
    <xf numFmtId="2" fontId="0" fillId="33" borderId="66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2" fontId="7" fillId="33" borderId="33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/>
    </xf>
    <xf numFmtId="2" fontId="9" fillId="33" borderId="6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0" fillId="0" borderId="42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2" xfId="0" applyFill="1" applyBorder="1" applyAlignment="1">
      <alignment vertical="center"/>
    </xf>
    <xf numFmtId="0" fontId="2" fillId="34" borderId="44" xfId="0" applyFont="1" applyFill="1" applyBorder="1" applyAlignment="1">
      <alignment horizontal="right" vertical="center"/>
    </xf>
    <xf numFmtId="0" fontId="0" fillId="34" borderId="27" xfId="0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0" fillId="34" borderId="34" xfId="0" applyFill="1" applyBorder="1" applyAlignment="1" quotePrefix="1">
      <alignment horizontal="left" vertical="center"/>
    </xf>
    <xf numFmtId="166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57" xfId="0" applyFill="1" applyBorder="1" applyAlignment="1">
      <alignment horizontal="left" vertical="center"/>
    </xf>
    <xf numFmtId="0" fontId="0" fillId="34" borderId="2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54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0" xfId="0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0" fillId="34" borderId="56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4" borderId="27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2" fontId="4" fillId="34" borderId="0" xfId="0" applyNumberFormat="1" applyFont="1" applyFill="1" applyBorder="1" applyAlignment="1">
      <alignment horizontal="center" vertical="center"/>
    </xf>
    <xf numFmtId="0" fontId="0" fillId="34" borderId="56" xfId="0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0" fontId="0" fillId="34" borderId="54" xfId="0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166" fontId="0" fillId="34" borderId="62" xfId="0" applyNumberFormat="1" applyFill="1" applyBorder="1" applyAlignment="1">
      <alignment horizontal="center" vertical="center"/>
    </xf>
    <xf numFmtId="9" fontId="0" fillId="34" borderId="60" xfId="0" applyNumberFormat="1" applyFill="1" applyBorder="1" applyAlignment="1">
      <alignment horizontal="center" vertical="center"/>
    </xf>
    <xf numFmtId="9" fontId="0" fillId="34" borderId="61" xfId="0" applyNumberFormat="1" applyFill="1" applyBorder="1" applyAlignment="1">
      <alignment horizontal="center" vertical="center"/>
    </xf>
    <xf numFmtId="2" fontId="0" fillId="34" borderId="66" xfId="0" applyNumberFormat="1" applyFill="1" applyBorder="1" applyAlignment="1">
      <alignment horizontal="center" vertical="center"/>
    </xf>
    <xf numFmtId="2" fontId="0" fillId="34" borderId="33" xfId="0" applyNumberFormat="1" applyFill="1" applyBorder="1" applyAlignment="1">
      <alignment horizontal="center" vertical="center"/>
    </xf>
    <xf numFmtId="0" fontId="0" fillId="34" borderId="50" xfId="0" applyFill="1" applyBorder="1" applyAlignment="1">
      <alignment/>
    </xf>
    <xf numFmtId="0" fontId="0" fillId="34" borderId="27" xfId="0" applyFill="1" applyBorder="1" applyAlignment="1">
      <alignment horizontal="right" vertical="center"/>
    </xf>
    <xf numFmtId="2" fontId="12" fillId="34" borderId="29" xfId="0" applyNumberFormat="1" applyFont="1" applyFill="1" applyBorder="1" applyAlignment="1">
      <alignment horizontal="center" vertical="center"/>
    </xf>
    <xf numFmtId="2" fontId="0" fillId="34" borderId="29" xfId="0" applyNumberForma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0" fontId="0" fillId="34" borderId="27" xfId="0" applyFill="1" applyBorder="1" applyAlignment="1" quotePrefix="1">
      <alignment horizontal="right" vertical="center"/>
    </xf>
    <xf numFmtId="2" fontId="7" fillId="34" borderId="30" xfId="0" applyNumberFormat="1" applyFont="1" applyFill="1" applyBorder="1" applyAlignment="1">
      <alignment horizontal="center" vertical="center"/>
    </xf>
    <xf numFmtId="0" fontId="0" fillId="34" borderId="54" xfId="0" applyFill="1" applyBorder="1" applyAlignment="1">
      <alignment horizontal="right" vertical="center"/>
    </xf>
    <xf numFmtId="2" fontId="12" fillId="34" borderId="32" xfId="0" applyNumberFormat="1" applyFont="1" applyFill="1" applyBorder="1" applyAlignment="1">
      <alignment horizontal="center" vertical="center"/>
    </xf>
    <xf numFmtId="2" fontId="0" fillId="34" borderId="32" xfId="0" applyNumberFormat="1" applyFill="1" applyBorder="1" applyAlignment="1">
      <alignment horizontal="center" vertical="center"/>
    </xf>
    <xf numFmtId="2" fontId="7" fillId="34" borderId="33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vertical="center"/>
    </xf>
    <xf numFmtId="0" fontId="0" fillId="34" borderId="56" xfId="0" applyFont="1" applyFill="1" applyBorder="1" applyAlignment="1">
      <alignment horizontal="right"/>
    </xf>
    <xf numFmtId="49" fontId="0" fillId="34" borderId="42" xfId="0" applyNumberFormat="1" applyFont="1" applyFill="1" applyBorder="1" applyAlignment="1">
      <alignment/>
    </xf>
    <xf numFmtId="49" fontId="4" fillId="34" borderId="42" xfId="0" applyNumberFormat="1" applyFont="1" applyFill="1" applyBorder="1" applyAlignment="1" applyProtection="1">
      <alignment horizontal="left"/>
      <protection/>
    </xf>
    <xf numFmtId="49" fontId="0" fillId="34" borderId="44" xfId="0" applyNumberFormat="1" applyFont="1" applyFill="1" applyBorder="1" applyAlignment="1">
      <alignment/>
    </xf>
    <xf numFmtId="0" fontId="0" fillId="34" borderId="27" xfId="0" applyFont="1" applyFill="1" applyBorder="1" applyAlignment="1">
      <alignment horizontal="right"/>
    </xf>
    <xf numFmtId="0" fontId="0" fillId="34" borderId="27" xfId="0" applyFont="1" applyFill="1" applyBorder="1" applyAlignment="1">
      <alignment/>
    </xf>
    <xf numFmtId="0" fontId="0" fillId="34" borderId="54" xfId="0" applyFont="1" applyFill="1" applyBorder="1" applyAlignment="1" applyProtection="1">
      <alignment horizontal="left"/>
      <protection/>
    </xf>
    <xf numFmtId="0" fontId="0" fillId="34" borderId="38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0" borderId="54" xfId="0" applyFill="1" applyBorder="1" applyAlignment="1">
      <alignment/>
    </xf>
    <xf numFmtId="0" fontId="0" fillId="0" borderId="38" xfId="0" applyFill="1" applyBorder="1" applyAlignment="1">
      <alignment/>
    </xf>
    <xf numFmtId="1" fontId="0" fillId="0" borderId="63" xfId="0" applyNumberFormat="1" applyFill="1" applyBorder="1" applyAlignment="1">
      <alignment horizontal="center" vertical="center"/>
    </xf>
    <xf numFmtId="0" fontId="0" fillId="35" borderId="27" xfId="0" applyFill="1" applyBorder="1" applyAlignment="1" quotePrefix="1">
      <alignment horizontal="left" vertical="center"/>
    </xf>
    <xf numFmtId="0" fontId="0" fillId="35" borderId="19" xfId="0" applyFill="1" applyBorder="1" applyAlignment="1" quotePrefix="1">
      <alignment horizontal="left" vertical="center"/>
    </xf>
    <xf numFmtId="0" fontId="0" fillId="35" borderId="0" xfId="0" applyFill="1" applyAlignment="1">
      <alignment vertical="center"/>
    </xf>
    <xf numFmtId="0" fontId="0" fillId="35" borderId="56" xfId="0" applyFill="1" applyBorder="1" applyAlignment="1">
      <alignment vertical="center"/>
    </xf>
    <xf numFmtId="0" fontId="0" fillId="35" borderId="43" xfId="0" applyFill="1" applyBorder="1" applyAlignment="1">
      <alignment horizontal="center" vertical="center"/>
    </xf>
    <xf numFmtId="0" fontId="0" fillId="35" borderId="22" xfId="0" applyFill="1" applyBorder="1" applyAlignment="1" quotePrefix="1">
      <alignment horizontal="center" vertical="center"/>
    </xf>
    <xf numFmtId="0" fontId="0" fillId="35" borderId="20" xfId="0" applyFill="1" applyBorder="1" applyAlignment="1" quotePrefix="1">
      <alignment horizontal="center" vertical="center"/>
    </xf>
    <xf numFmtId="0" fontId="0" fillId="35" borderId="22" xfId="0" applyFill="1" applyBorder="1" applyAlignment="1">
      <alignment vertical="center"/>
    </xf>
    <xf numFmtId="0" fontId="0" fillId="35" borderId="54" xfId="0" applyFill="1" applyBorder="1" applyAlignment="1" quotePrefix="1">
      <alignment horizontal="left" vertical="center"/>
    </xf>
    <xf numFmtId="0" fontId="0" fillId="35" borderId="48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/>
    </xf>
    <xf numFmtId="2" fontId="0" fillId="36" borderId="67" xfId="0" applyNumberFormat="1" applyFont="1" applyFill="1" applyBorder="1" applyAlignment="1">
      <alignment horizontal="center" vertical="center"/>
    </xf>
    <xf numFmtId="2" fontId="0" fillId="36" borderId="6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2" fontId="0" fillId="36" borderId="23" xfId="0" applyNumberFormat="1" applyFont="1" applyFill="1" applyBorder="1" applyAlignment="1">
      <alignment horizontal="center" vertical="center"/>
    </xf>
    <xf numFmtId="2" fontId="0" fillId="36" borderId="12" xfId="0" applyNumberFormat="1" applyFont="1" applyFill="1" applyBorder="1" applyAlignment="1">
      <alignment horizontal="center" vertical="center"/>
    </xf>
    <xf numFmtId="2" fontId="0" fillId="36" borderId="55" xfId="0" applyNumberFormat="1" applyFont="1" applyFill="1" applyBorder="1" applyAlignment="1">
      <alignment horizontal="center" vertical="center"/>
    </xf>
    <xf numFmtId="0" fontId="0" fillId="36" borderId="29" xfId="0" applyNumberFormat="1" applyFill="1" applyBorder="1" applyAlignment="1">
      <alignment horizontal="center" vertical="center"/>
    </xf>
    <xf numFmtId="0" fontId="0" fillId="37" borderId="56" xfId="0" applyFill="1" applyBorder="1" applyAlignment="1" quotePrefix="1">
      <alignment horizontal="left" vertical="center"/>
    </xf>
    <xf numFmtId="0" fontId="0" fillId="37" borderId="26" xfId="0" applyFill="1" applyBorder="1" applyAlignment="1" quotePrefix="1">
      <alignment horizontal="left" vertical="center"/>
    </xf>
    <xf numFmtId="0" fontId="0" fillId="37" borderId="27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8" xfId="0" applyFill="1" applyBorder="1" applyAlignment="1" quotePrefix="1">
      <alignment horizontal="left" vertical="center"/>
    </xf>
    <xf numFmtId="0" fontId="0" fillId="37" borderId="26" xfId="0" applyFill="1" applyBorder="1" applyAlignment="1">
      <alignment horizontal="left" vertical="center"/>
    </xf>
    <xf numFmtId="0" fontId="0" fillId="37" borderId="69" xfId="0" applyFill="1" applyBorder="1" applyAlignment="1">
      <alignment horizontal="left" vertical="center"/>
    </xf>
    <xf numFmtId="0" fontId="0" fillId="37" borderId="70" xfId="0" applyFill="1" applyBorder="1" applyAlignment="1">
      <alignment horizontal="left" vertical="center"/>
    </xf>
    <xf numFmtId="0" fontId="0" fillId="37" borderId="0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0" fillId="37" borderId="13" xfId="0" applyFill="1" applyBorder="1" applyAlignment="1" quotePrefix="1">
      <alignment horizontal="left" vertical="center"/>
    </xf>
    <xf numFmtId="0" fontId="0" fillId="37" borderId="13" xfId="0" applyFill="1" applyBorder="1" applyAlignment="1">
      <alignment vertical="center"/>
    </xf>
    <xf numFmtId="0" fontId="0" fillId="37" borderId="14" xfId="0" applyFill="1" applyBorder="1" applyAlignment="1" quotePrefix="1">
      <alignment horizontal="left" vertical="center"/>
    </xf>
    <xf numFmtId="0" fontId="0" fillId="37" borderId="71" xfId="0" applyFill="1" applyBorder="1" applyAlignment="1" quotePrefix="1">
      <alignment horizontal="left" vertical="center"/>
    </xf>
    <xf numFmtId="0" fontId="0" fillId="38" borderId="72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1" fontId="0" fillId="38" borderId="15" xfId="0" applyNumberFormat="1" applyFont="1" applyFill="1" applyBorder="1" applyAlignment="1">
      <alignment horizontal="center" vertical="center"/>
    </xf>
    <xf numFmtId="2" fontId="0" fillId="38" borderId="15" xfId="0" applyNumberFormat="1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2" fontId="0" fillId="38" borderId="50" xfId="0" applyNumberFormat="1" applyFont="1" applyFill="1" applyBorder="1" applyAlignment="1">
      <alignment horizontal="center" vertical="center"/>
    </xf>
    <xf numFmtId="2" fontId="0" fillId="38" borderId="52" xfId="0" applyNumberFormat="1" applyFont="1" applyFill="1" applyBorder="1" applyAlignment="1">
      <alignment horizontal="center" vertical="center"/>
    </xf>
    <xf numFmtId="2" fontId="0" fillId="38" borderId="32" xfId="0" applyNumberFormat="1" applyFont="1" applyFill="1" applyBorder="1" applyAlignment="1">
      <alignment horizontal="center" vertical="center"/>
    </xf>
    <xf numFmtId="2" fontId="0" fillId="38" borderId="68" xfId="0" applyNumberFormat="1" applyFont="1" applyFill="1" applyBorder="1" applyAlignment="1">
      <alignment horizontal="center" vertical="center"/>
    </xf>
    <xf numFmtId="0" fontId="0" fillId="39" borderId="41" xfId="0" applyFont="1" applyFill="1" applyBorder="1" applyAlignment="1" quotePrefix="1">
      <alignment horizontal="left" vertical="center"/>
    </xf>
    <xf numFmtId="0" fontId="0" fillId="39" borderId="43" xfId="0" applyFont="1" applyFill="1" applyBorder="1" applyAlignment="1">
      <alignment horizontal="center" vertical="center"/>
    </xf>
    <xf numFmtId="0" fontId="0" fillId="39" borderId="10" xfId="0" applyFont="1" applyFill="1" applyBorder="1" applyAlignment="1" quotePrefix="1">
      <alignment horizontal="left" vertical="center"/>
    </xf>
    <xf numFmtId="0" fontId="0" fillId="39" borderId="13" xfId="0" applyFont="1" applyFill="1" applyBorder="1" applyAlignment="1">
      <alignment vertical="center"/>
    </xf>
    <xf numFmtId="0" fontId="0" fillId="39" borderId="16" xfId="0" applyFont="1" applyFill="1" applyBorder="1" applyAlignment="1">
      <alignment vertical="center"/>
    </xf>
    <xf numFmtId="0" fontId="0" fillId="39" borderId="73" xfId="0" applyFont="1" applyFill="1" applyBorder="1" applyAlignment="1" quotePrefix="1">
      <alignment horizontal="left" vertical="center"/>
    </xf>
    <xf numFmtId="0" fontId="0" fillId="39" borderId="70" xfId="0" applyFont="1" applyFill="1" applyBorder="1" applyAlignment="1">
      <alignment horizontal="left" vertical="center"/>
    </xf>
    <xf numFmtId="0" fontId="0" fillId="39" borderId="16" xfId="0" applyFont="1" applyFill="1" applyBorder="1" applyAlignment="1">
      <alignment horizontal="left" vertical="center"/>
    </xf>
    <xf numFmtId="0" fontId="0" fillId="39" borderId="0" xfId="0" applyFont="1" applyFill="1" applyAlignment="1">
      <alignment vertical="center"/>
    </xf>
    <xf numFmtId="0" fontId="0" fillId="39" borderId="0" xfId="0" applyFont="1" applyFill="1" applyAlignment="1">
      <alignment horizontal="center" vertical="center"/>
    </xf>
    <xf numFmtId="0" fontId="0" fillId="39" borderId="22" xfId="0" applyFont="1" applyFill="1" applyBorder="1" applyAlignment="1" quotePrefix="1">
      <alignment horizontal="center" vertical="center"/>
    </xf>
    <xf numFmtId="0" fontId="0" fillId="39" borderId="20" xfId="0" applyFont="1" applyFill="1" applyBorder="1" applyAlignment="1" quotePrefix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 horizontal="center" vertical="center"/>
    </xf>
    <xf numFmtId="0" fontId="0" fillId="40" borderId="42" xfId="0" applyFont="1" applyFill="1" applyBorder="1" applyAlignment="1">
      <alignment horizontal="center" vertical="center"/>
    </xf>
    <xf numFmtId="0" fontId="0" fillId="40" borderId="7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29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0" borderId="67" xfId="0" applyFont="1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74" xfId="0" applyFont="1" applyFill="1" applyBorder="1" applyAlignment="1">
      <alignment horizontal="center" vertical="center"/>
    </xf>
    <xf numFmtId="0" fontId="0" fillId="40" borderId="68" xfId="0" applyFont="1" applyFill="1" applyBorder="1" applyAlignment="1">
      <alignment horizontal="center" vertical="center"/>
    </xf>
    <xf numFmtId="2" fontId="0" fillId="40" borderId="20" xfId="0" applyNumberFormat="1" applyFont="1" applyFill="1" applyBorder="1" applyAlignment="1">
      <alignment horizontal="center" vertical="center"/>
    </xf>
    <xf numFmtId="2" fontId="0" fillId="40" borderId="18" xfId="0" applyNumberFormat="1" applyFont="1" applyFill="1" applyBorder="1" applyAlignment="1">
      <alignment horizontal="center" vertical="center"/>
    </xf>
    <xf numFmtId="2" fontId="0" fillId="40" borderId="32" xfId="0" applyNumberFormat="1" applyFont="1" applyFill="1" applyBorder="1" applyAlignment="1">
      <alignment horizontal="center" vertical="center"/>
    </xf>
    <xf numFmtId="2" fontId="0" fillId="40" borderId="68" xfId="0" applyNumberFormat="1" applyFont="1" applyFill="1" applyBorder="1" applyAlignment="1">
      <alignment horizontal="center" vertical="center"/>
    </xf>
    <xf numFmtId="0" fontId="0" fillId="40" borderId="44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center" vertical="center"/>
    </xf>
    <xf numFmtId="2" fontId="0" fillId="40" borderId="23" xfId="0" applyNumberFormat="1" applyFont="1" applyFill="1" applyBorder="1" applyAlignment="1">
      <alignment horizontal="center" vertical="center"/>
    </xf>
    <xf numFmtId="2" fontId="0" fillId="40" borderId="21" xfId="0" applyNumberFormat="1" applyFont="1" applyFill="1" applyBorder="1" applyAlignment="1">
      <alignment horizontal="center" vertical="center"/>
    </xf>
    <xf numFmtId="2" fontId="0" fillId="40" borderId="25" xfId="0" applyNumberFormat="1" applyFont="1" applyFill="1" applyBorder="1" applyAlignment="1">
      <alignment horizontal="center" vertical="center"/>
    </xf>
    <xf numFmtId="2" fontId="0" fillId="40" borderId="4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10" fillId="41" borderId="62" xfId="0" applyFont="1" applyFill="1" applyBorder="1" applyAlignment="1" quotePrefix="1">
      <alignment horizontal="center" vertical="center"/>
    </xf>
    <xf numFmtId="2" fontId="11" fillId="41" borderId="6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34" borderId="58" xfId="0" applyFill="1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6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8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Border="1" applyAlignment="1">
      <alignment/>
    </xf>
    <xf numFmtId="0" fontId="5" fillId="39" borderId="34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5" borderId="34" xfId="0" applyFont="1" applyFill="1" applyBorder="1" applyAlignment="1" quotePrefix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/>
    </xf>
    <xf numFmtId="0" fontId="5" fillId="37" borderId="56" xfId="0" applyFont="1" applyFill="1" applyBorder="1" applyAlignment="1" quotePrefix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/>
    </xf>
    <xf numFmtId="0" fontId="5" fillId="42" borderId="34" xfId="0" applyFont="1" applyFill="1" applyBorder="1" applyAlignment="1">
      <alignment horizontal="center" vertical="center"/>
    </xf>
    <xf numFmtId="0" fontId="5" fillId="42" borderId="42" xfId="0" applyFont="1" applyFill="1" applyBorder="1" applyAlignment="1">
      <alignment horizontal="center" vertical="center"/>
    </xf>
    <xf numFmtId="0" fontId="5" fillId="42" borderId="4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/>
    </xf>
    <xf numFmtId="0" fontId="5" fillId="39" borderId="64" xfId="0" applyFont="1" applyFill="1" applyBorder="1" applyAlignment="1">
      <alignment horizontal="center" vertical="center"/>
    </xf>
    <xf numFmtId="0" fontId="5" fillId="39" borderId="65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47" xfId="0" applyFont="1" applyFill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35" borderId="66" xfId="0" applyFill="1" applyBorder="1" applyAlignment="1">
      <alignment horizontal="left" vertical="center"/>
    </xf>
    <xf numFmtId="0" fontId="0" fillId="35" borderId="26" xfId="0" applyFill="1" applyBorder="1" applyAlignment="1" quotePrefix="1">
      <alignment horizontal="left" vertical="center"/>
    </xf>
    <xf numFmtId="0" fontId="0" fillId="35" borderId="75" xfId="0" applyFill="1" applyBorder="1" applyAlignment="1" quotePrefix="1">
      <alignment horizontal="left" vertical="center"/>
    </xf>
    <xf numFmtId="0" fontId="0" fillId="35" borderId="27" xfId="0" applyFill="1" applyBorder="1" applyAlignment="1" quotePrefix="1">
      <alignment horizontal="left" vertical="center"/>
    </xf>
    <xf numFmtId="0" fontId="0" fillId="35" borderId="47" xfId="0" applyFill="1" applyBorder="1" applyAlignment="1" quotePrefix="1">
      <alignment horizontal="left" vertical="center"/>
    </xf>
    <xf numFmtId="0" fontId="0" fillId="35" borderId="19" xfId="0" applyFill="1" applyBorder="1" applyAlignment="1" quotePrefix="1">
      <alignment horizontal="left" vertical="center"/>
    </xf>
    <xf numFmtId="0" fontId="0" fillId="35" borderId="45" xfId="0" applyFill="1" applyBorder="1" applyAlignment="1" quotePrefix="1">
      <alignment horizontal="left" vertical="center"/>
    </xf>
    <xf numFmtId="0" fontId="5" fillId="35" borderId="34" xfId="0" applyFont="1" applyFill="1" applyBorder="1" applyAlignment="1">
      <alignment horizontal="center" vertical="center"/>
    </xf>
    <xf numFmtId="0" fontId="0" fillId="35" borderId="28" xfId="0" applyFill="1" applyBorder="1" applyAlignment="1" quotePrefix="1">
      <alignment horizontal="left" vertical="center"/>
    </xf>
    <xf numFmtId="0" fontId="0" fillId="35" borderId="53" xfId="0" applyFill="1" applyBorder="1" applyAlignment="1" quotePrefix="1">
      <alignment horizontal="left" vertical="center"/>
    </xf>
    <xf numFmtId="0" fontId="0" fillId="35" borderId="76" xfId="0" applyFill="1" applyBorder="1" applyAlignment="1">
      <alignment horizontal="left" vertical="center"/>
    </xf>
    <xf numFmtId="0" fontId="0" fillId="35" borderId="46" xfId="0" applyFill="1" applyBorder="1" applyAlignment="1">
      <alignment horizontal="left" vertical="center"/>
    </xf>
    <xf numFmtId="0" fontId="0" fillId="39" borderId="26" xfId="0" applyFont="1" applyFill="1" applyBorder="1" applyAlignment="1" quotePrefix="1">
      <alignment horizontal="left" vertical="center"/>
    </xf>
    <xf numFmtId="0" fontId="0" fillId="39" borderId="36" xfId="0" applyFont="1" applyFill="1" applyBorder="1" applyAlignment="1" quotePrefix="1">
      <alignment horizontal="left" vertical="center"/>
    </xf>
    <xf numFmtId="0" fontId="0" fillId="39" borderId="75" xfId="0" applyFont="1" applyFill="1" applyBorder="1" applyAlignment="1" quotePrefix="1">
      <alignment horizontal="left" vertical="center"/>
    </xf>
    <xf numFmtId="0" fontId="0" fillId="39" borderId="54" xfId="0" applyFont="1" applyFill="1" applyBorder="1" applyAlignment="1" quotePrefix="1">
      <alignment horizontal="left" vertical="center"/>
    </xf>
    <xf numFmtId="0" fontId="0" fillId="39" borderId="38" xfId="0" applyFont="1" applyFill="1" applyBorder="1" applyAlignment="1" quotePrefix="1">
      <alignment horizontal="left" vertical="center"/>
    </xf>
    <xf numFmtId="0" fontId="0" fillId="39" borderId="77" xfId="0" applyFont="1" applyFill="1" applyBorder="1" applyAlignment="1" quotePrefix="1">
      <alignment horizontal="left" vertical="center"/>
    </xf>
    <xf numFmtId="0" fontId="0" fillId="39" borderId="56" xfId="0" applyFont="1" applyFill="1" applyBorder="1" applyAlignment="1" quotePrefix="1">
      <alignment horizontal="left" vertical="center"/>
    </xf>
    <xf numFmtId="0" fontId="0" fillId="39" borderId="42" xfId="0" applyFont="1" applyFill="1" applyBorder="1" applyAlignment="1" quotePrefix="1">
      <alignment horizontal="left" vertical="center"/>
    </xf>
    <xf numFmtId="0" fontId="0" fillId="39" borderId="78" xfId="0" applyFont="1" applyFill="1" applyBorder="1" applyAlignment="1" quotePrefix="1">
      <alignment horizontal="left" vertical="center"/>
    </xf>
    <xf numFmtId="0" fontId="0" fillId="39" borderId="27" xfId="0" applyFont="1" applyFill="1" applyBorder="1" applyAlignment="1" quotePrefix="1">
      <alignment horizontal="left" vertical="center"/>
    </xf>
    <xf numFmtId="0" fontId="0" fillId="39" borderId="0" xfId="0" applyFont="1" applyFill="1" applyBorder="1" applyAlignment="1" quotePrefix="1">
      <alignment horizontal="left" vertical="center"/>
    </xf>
    <xf numFmtId="0" fontId="0" fillId="39" borderId="47" xfId="0" applyFont="1" applyFill="1" applyBorder="1" applyAlignment="1" quotePrefix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5" fontId="0" fillId="0" borderId="79" xfId="0" applyNumberFormat="1" applyFont="1" applyFill="1" applyBorder="1" applyAlignment="1">
      <alignment horizontal="center" vertical="center"/>
    </xf>
    <xf numFmtId="165" fontId="0" fillId="0" borderId="6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5" fontId="0" fillId="0" borderId="80" xfId="0" applyNumberFormat="1" applyFont="1" applyFill="1" applyBorder="1" applyAlignment="1">
      <alignment horizontal="center" vertical="center"/>
    </xf>
    <xf numFmtId="165" fontId="0" fillId="0" borderId="74" xfId="0" applyNumberFormat="1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167" fontId="0" fillId="0" borderId="35" xfId="0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3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5" fillId="39" borderId="56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64" xfId="0" applyFont="1" applyFill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167" fontId="0" fillId="0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Slope ratio assay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975"/>
          <c:w val="0.93625"/>
          <c:h val="0.8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Calc!$P$68:$P$73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Calc!$Q$68:$Q$73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Calc!$P$78:$P$83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Calc!$Q$78:$Q$83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Calc!$P$68:$P$73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Calc!$R$68:$R$73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Calc!$P$78:$P$83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Calc!$R$78:$R$83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Calc!$Q$74:$Q$76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Calc!$R$74:$R$76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Calc!$P$67:$P$73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Calc!$U$67:$U$73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Calc!$P$77:$P$83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Calc!$U$77:$U$83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Calc!$P$68:$P$73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Calc!$S$68:$S$73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Calc!$P$68:$P$73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Calc!$T$68:$T$73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Calc!$P$78:$P$83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Calc!$S$78:$S$83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Calc!$P$78:$P$83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Calc!$T$78:$T$83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Calc!$S$74:$S$76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Calc!$T$74:$T$76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axId val="12911905"/>
        <c:axId val="49098282"/>
      </c:scatterChart>
      <c:val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>
            <c:manualLayout>
              <c:xMode val="factor"/>
              <c:yMode val="factor"/>
              <c:x val="0.007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 val="autoZero"/>
        <c:crossBetween val="midCat"/>
        <c:dispUnits/>
      </c:val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Calc!$Q$74:$Q$76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Calc!$R$74:$R$76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Calc!$S$74:$S$76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Calc!$T$74:$T$76</c:f>
              <c:numCache/>
            </c:numRef>
          </c:yVal>
          <c:smooth val="0"/>
        </c:ser>
        <c:axId val="39231355"/>
        <c:axId val="17537876"/>
      </c:scatterChart>
      <c:val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crossBetween val="midCat"/>
        <c:dispUnits/>
      </c:val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Calc!$Q$74:$Q$76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Calc!$R$74:$R$76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Calc!$S$74:$S$76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Calc!$T$74:$T$76</c:f>
              <c:numCache/>
            </c:numRef>
          </c:yVal>
          <c:smooth val="0"/>
        </c:ser>
        <c:axId val="23623157"/>
        <c:axId val="11281822"/>
      </c:scatterChart>
      <c:val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crossBetween val="midCat"/>
        <c:dispUnits/>
      </c:val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Calc!$P$68:$P$73</c:f>
              <c:numCache/>
            </c:numRef>
          </c:xVal>
          <c:yVal>
            <c:numRef>
              <c:f>Calc!$Q$68:$Q$73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Calc!$P$68:$P$73</c:f>
              <c:numCache/>
            </c:numRef>
          </c:xVal>
          <c:yVal>
            <c:numRef>
              <c:f>Calc!$R$68:$R$73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Calc!$Q$74:$Q$76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Calc!$R$74:$R$76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Calc!$P$68:$P$73</c:f>
              <c:numCache/>
            </c:numRef>
          </c:xVal>
          <c:yVal>
            <c:numRef>
              <c:f>Calc!$S$68:$S$73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Calc!$P$68:$P$73</c:f>
              <c:numCache/>
            </c:numRef>
          </c:xVal>
          <c:yVal>
            <c:numRef>
              <c:f>Calc!$T$68:$T$73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Calc!$S$74:$S$76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Calc!$P$74:$P$76</c:f>
              <c:numCache/>
            </c:numRef>
          </c:xVal>
          <c:yVal>
            <c:numRef>
              <c:f>Calc!$T$74:$T$76</c:f>
              <c:numCache/>
            </c:numRef>
          </c:yVal>
          <c:smooth val="0"/>
        </c:ser>
        <c:axId val="34427535"/>
        <c:axId val="41412360"/>
      </c:scatterChart>
      <c:val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 val="autoZero"/>
        <c:crossBetween val="midCat"/>
        <c:dispUnits/>
      </c:val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7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0.5175</cdr:y>
    </cdr:from>
    <cdr:to>
      <cdr:x>0.58575</cdr:x>
      <cdr:y>0.59675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43125" y="2019300"/>
          <a:ext cx="133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123825</xdr:rowOff>
    </xdr:from>
    <xdr:to>
      <xdr:col>13</xdr:col>
      <xdr:colOff>1095375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248275" y="1314450"/>
        <a:ext cx="38862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84</xdr:row>
      <xdr:rowOff>0</xdr:rowOff>
    </xdr:from>
    <xdr:to>
      <xdr:col>22</xdr:col>
      <xdr:colOff>0</xdr:colOff>
      <xdr:row>90</xdr:row>
      <xdr:rowOff>0</xdr:rowOff>
    </xdr:to>
    <xdr:graphicFrame>
      <xdr:nvGraphicFramePr>
        <xdr:cNvPr id="1" name="Chart 8"/>
        <xdr:cNvGraphicFramePr/>
      </xdr:nvGraphicFramePr>
      <xdr:xfrm>
        <a:off x="15344775" y="14097000"/>
        <a:ext cx="0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84</xdr:row>
      <xdr:rowOff>0</xdr:rowOff>
    </xdr:from>
    <xdr:to>
      <xdr:col>22</xdr:col>
      <xdr:colOff>0</xdr:colOff>
      <xdr:row>90</xdr:row>
      <xdr:rowOff>0</xdr:rowOff>
    </xdr:to>
    <xdr:graphicFrame>
      <xdr:nvGraphicFramePr>
        <xdr:cNvPr id="2" name="Chart 11"/>
        <xdr:cNvGraphicFramePr/>
      </xdr:nvGraphicFramePr>
      <xdr:xfrm>
        <a:off x="15344775" y="14097000"/>
        <a:ext cx="0" cy="97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84</xdr:row>
      <xdr:rowOff>0</xdr:rowOff>
    </xdr:from>
    <xdr:to>
      <xdr:col>22</xdr:col>
      <xdr:colOff>0</xdr:colOff>
      <xdr:row>90</xdr:row>
      <xdr:rowOff>0</xdr:rowOff>
    </xdr:to>
    <xdr:graphicFrame>
      <xdr:nvGraphicFramePr>
        <xdr:cNvPr id="3" name="Chart 12"/>
        <xdr:cNvGraphicFramePr/>
      </xdr:nvGraphicFramePr>
      <xdr:xfrm>
        <a:off x="15344775" y="14097000"/>
        <a:ext cx="0" cy="97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5"/>
  <sheetViews>
    <sheetView tabSelected="1" workbookViewId="0" topLeftCell="A1">
      <selection activeCell="C3" sqref="C3"/>
    </sheetView>
  </sheetViews>
  <sheetFormatPr defaultColWidth="9.140625" defaultRowHeight="12.75"/>
  <cols>
    <col min="1" max="1" width="2.7109375" style="0" customWidth="1"/>
    <col min="2" max="2" width="18.8515625" style="0" bestFit="1" customWidth="1"/>
    <col min="3" max="3" width="10.421875" style="0" customWidth="1"/>
    <col min="4" max="8" width="8.7109375" style="0" customWidth="1"/>
    <col min="9" max="9" width="3.140625" style="0" customWidth="1"/>
    <col min="10" max="10" width="13.28125" style="0" customWidth="1"/>
    <col min="11" max="11" width="2.7109375" style="0" customWidth="1"/>
    <col min="12" max="12" width="8.7109375" style="0" customWidth="1"/>
    <col min="13" max="13" width="17.140625" style="0" customWidth="1"/>
    <col min="14" max="14" width="19.00390625" style="0" customWidth="1"/>
    <col min="15" max="15" width="18.28125" style="0" customWidth="1"/>
  </cols>
  <sheetData>
    <row r="1" spans="1:15" s="8" customFormat="1" ht="13.5" thickBot="1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7"/>
      <c r="N1" s="199" t="s">
        <v>137</v>
      </c>
      <c r="O1" s="124"/>
    </row>
    <row r="2" spans="1:15" ht="16.5" customHeight="1" thickBot="1">
      <c r="A2" s="200"/>
      <c r="B2" s="375" t="s">
        <v>24</v>
      </c>
      <c r="C2" s="376"/>
      <c r="D2" s="376"/>
      <c r="E2" s="376"/>
      <c r="F2" s="376"/>
      <c r="G2" s="376"/>
      <c r="H2" s="377"/>
      <c r="I2" s="201"/>
      <c r="J2" s="378" t="s">
        <v>61</v>
      </c>
      <c r="K2" s="379"/>
      <c r="L2" s="380"/>
      <c r="M2" s="201"/>
      <c r="N2" s="202"/>
      <c r="O2" s="124"/>
    </row>
    <row r="3" spans="1:15" ht="12.75" customHeight="1" thickBot="1">
      <c r="A3" s="200"/>
      <c r="B3" s="203" t="s">
        <v>93</v>
      </c>
      <c r="C3" s="165"/>
      <c r="D3" s="166"/>
      <c r="E3" s="166"/>
      <c r="F3" s="166"/>
      <c r="G3" s="166"/>
      <c r="H3" s="167"/>
      <c r="I3" s="204"/>
      <c r="J3" s="205"/>
      <c r="K3" s="205"/>
      <c r="L3" s="205"/>
      <c r="M3" s="206"/>
      <c r="N3" s="207"/>
      <c r="O3" s="357"/>
    </row>
    <row r="4" spans="1:15" ht="12.75" customHeight="1">
      <c r="A4" s="200"/>
      <c r="B4" s="208" t="s">
        <v>3</v>
      </c>
      <c r="C4" s="149"/>
      <c r="D4" s="1"/>
      <c r="E4" s="1"/>
      <c r="F4" s="1"/>
      <c r="G4" s="1"/>
      <c r="H4" s="159"/>
      <c r="I4" s="204"/>
      <c r="J4" s="196"/>
      <c r="K4" s="210"/>
      <c r="L4" s="359"/>
      <c r="M4" s="206"/>
      <c r="N4" s="207"/>
      <c r="O4" s="124"/>
    </row>
    <row r="5" spans="1:15" ht="12.75" customHeight="1">
      <c r="A5" s="200"/>
      <c r="B5" s="211"/>
      <c r="C5" s="149"/>
      <c r="D5" s="1"/>
      <c r="E5" s="1"/>
      <c r="F5" s="1"/>
      <c r="G5" s="1"/>
      <c r="H5" s="160"/>
      <c r="I5" s="204"/>
      <c r="J5" s="200"/>
      <c r="K5" s="209"/>
      <c r="L5" s="358"/>
      <c r="M5" s="206"/>
      <c r="N5" s="207"/>
      <c r="O5" s="124"/>
    </row>
    <row r="6" spans="1:15" ht="12.75" customHeight="1">
      <c r="A6" s="200"/>
      <c r="B6" s="211"/>
      <c r="C6" s="149"/>
      <c r="D6" s="1"/>
      <c r="E6" s="1"/>
      <c r="F6" s="1"/>
      <c r="G6" s="1"/>
      <c r="H6" s="160"/>
      <c r="I6" s="204"/>
      <c r="J6" s="200"/>
      <c r="K6" s="209"/>
      <c r="L6" s="358"/>
      <c r="M6" s="206"/>
      <c r="N6" s="207"/>
      <c r="O6" s="124"/>
    </row>
    <row r="7" spans="1:15" ht="12.75" customHeight="1" thickBot="1">
      <c r="A7" s="200"/>
      <c r="B7" s="212"/>
      <c r="C7" s="150"/>
      <c r="D7" s="123"/>
      <c r="E7" s="123"/>
      <c r="F7" s="123"/>
      <c r="G7" s="123"/>
      <c r="H7" s="161"/>
      <c r="I7" s="204"/>
      <c r="J7" s="213"/>
      <c r="K7" s="215"/>
      <c r="L7" s="360"/>
      <c r="M7" s="206"/>
      <c r="N7" s="207"/>
      <c r="O7" s="124"/>
    </row>
    <row r="8" spans="1:15" ht="12.75" customHeight="1" thickBot="1">
      <c r="A8" s="200"/>
      <c r="B8" s="205"/>
      <c r="C8" s="205"/>
      <c r="D8" s="205"/>
      <c r="E8" s="205"/>
      <c r="F8" s="205"/>
      <c r="G8" s="205"/>
      <c r="H8" s="205"/>
      <c r="I8" s="216"/>
      <c r="J8" s="205"/>
      <c r="K8" s="205"/>
      <c r="L8" s="205"/>
      <c r="M8" s="206"/>
      <c r="N8" s="207"/>
      <c r="O8" s="124"/>
    </row>
    <row r="9" spans="1:15" ht="16.5" customHeight="1" thickBot="1">
      <c r="A9" s="200"/>
      <c r="B9" s="381" t="s">
        <v>69</v>
      </c>
      <c r="C9" s="382"/>
      <c r="D9" s="382"/>
      <c r="E9" s="382"/>
      <c r="F9" s="382"/>
      <c r="G9" s="382"/>
      <c r="H9" s="383"/>
      <c r="I9" s="216"/>
      <c r="J9" s="205"/>
      <c r="K9" s="205"/>
      <c r="L9" s="205"/>
      <c r="M9" s="206"/>
      <c r="N9" s="207"/>
      <c r="O9" s="124"/>
    </row>
    <row r="10" spans="1:15" ht="12.75" customHeight="1" thickBot="1">
      <c r="A10" s="200"/>
      <c r="B10" s="217" t="s">
        <v>5</v>
      </c>
      <c r="C10" s="165"/>
      <c r="D10" s="166"/>
      <c r="E10" s="166"/>
      <c r="F10" s="367"/>
      <c r="G10" s="166"/>
      <c r="H10" s="167"/>
      <c r="I10" s="216"/>
      <c r="J10" s="205"/>
      <c r="K10" s="205"/>
      <c r="L10" s="205"/>
      <c r="M10" s="206"/>
      <c r="N10" s="207"/>
      <c r="O10" s="124"/>
    </row>
    <row r="11" spans="1:15" ht="12.75" customHeight="1">
      <c r="A11" s="200"/>
      <c r="B11" s="218" t="s">
        <v>4</v>
      </c>
      <c r="C11" s="149"/>
      <c r="D11" s="1"/>
      <c r="E11" s="1"/>
      <c r="F11" s="366"/>
      <c r="G11" s="9"/>
      <c r="H11" s="160"/>
      <c r="I11" s="216"/>
      <c r="J11" s="205"/>
      <c r="K11" s="205"/>
      <c r="L11" s="205"/>
      <c r="M11" s="219"/>
      <c r="N11" s="220"/>
      <c r="O11" s="124"/>
    </row>
    <row r="12" spans="1:15" ht="12.75" customHeight="1">
      <c r="A12" s="200"/>
      <c r="B12" s="221"/>
      <c r="C12" s="149"/>
      <c r="D12" s="1"/>
      <c r="E12" s="1"/>
      <c r="F12" s="112"/>
      <c r="G12" s="9"/>
      <c r="H12" s="160"/>
      <c r="I12" s="216"/>
      <c r="J12" s="205"/>
      <c r="K12" s="205"/>
      <c r="L12" s="205"/>
      <c r="M12" s="219"/>
      <c r="N12" s="220"/>
      <c r="O12" s="124"/>
    </row>
    <row r="13" spans="1:15" ht="12.75" customHeight="1">
      <c r="A13" s="200"/>
      <c r="B13" s="221"/>
      <c r="C13" s="149"/>
      <c r="D13" s="1"/>
      <c r="E13" s="1"/>
      <c r="F13" s="9"/>
      <c r="G13" s="9"/>
      <c r="H13" s="160"/>
      <c r="I13" s="216"/>
      <c r="J13" s="205"/>
      <c r="K13" s="205"/>
      <c r="L13" s="205"/>
      <c r="M13" s="219"/>
      <c r="N13" s="220"/>
      <c r="O13" s="124"/>
    </row>
    <row r="14" spans="1:15" ht="12.75" customHeight="1" thickBot="1">
      <c r="A14" s="200"/>
      <c r="B14" s="222"/>
      <c r="C14" s="150"/>
      <c r="D14" s="123"/>
      <c r="E14" s="123"/>
      <c r="F14" s="255"/>
      <c r="G14" s="255"/>
      <c r="H14" s="161"/>
      <c r="I14" s="216"/>
      <c r="J14" s="205"/>
      <c r="K14" s="205"/>
      <c r="L14" s="205"/>
      <c r="M14" s="219"/>
      <c r="N14" s="220"/>
      <c r="O14" s="124"/>
    </row>
    <row r="15" spans="1:15" ht="12.75" customHeight="1" thickBot="1">
      <c r="A15" s="200"/>
      <c r="B15" s="205"/>
      <c r="C15" s="205"/>
      <c r="D15" s="205"/>
      <c r="E15" s="205"/>
      <c r="F15" s="205"/>
      <c r="G15" s="205"/>
      <c r="H15" s="205"/>
      <c r="I15" s="223"/>
      <c r="J15" s="205"/>
      <c r="K15" s="205"/>
      <c r="L15" s="205"/>
      <c r="M15" s="219"/>
      <c r="N15" s="220"/>
      <c r="O15" s="124"/>
    </row>
    <row r="16" spans="1:15" ht="12.75" customHeight="1">
      <c r="A16" s="200"/>
      <c r="B16" s="224" t="s">
        <v>124</v>
      </c>
      <c r="C16" s="384"/>
      <c r="D16" s="385"/>
      <c r="E16" s="225"/>
      <c r="F16" s="225"/>
      <c r="G16" s="205"/>
      <c r="H16" s="205"/>
      <c r="I16" s="223"/>
      <c r="J16" s="205"/>
      <c r="K16" s="205"/>
      <c r="L16" s="205"/>
      <c r="M16" s="219"/>
      <c r="N16" s="220"/>
      <c r="O16" s="124"/>
    </row>
    <row r="17" spans="1:15" ht="12.75" customHeight="1" thickBot="1">
      <c r="A17" s="200"/>
      <c r="B17" s="226" t="s">
        <v>25</v>
      </c>
      <c r="C17" s="254">
        <v>1</v>
      </c>
      <c r="D17" s="215"/>
      <c r="E17" s="225"/>
      <c r="F17" s="225"/>
      <c r="G17" s="205"/>
      <c r="H17" s="205"/>
      <c r="I17" s="225"/>
      <c r="J17" s="205"/>
      <c r="K17" s="205"/>
      <c r="L17" s="205"/>
      <c r="M17" s="219"/>
      <c r="N17" s="220"/>
      <c r="O17" s="124"/>
    </row>
    <row r="18" spans="1:15" ht="12.75" customHeight="1" thickBot="1">
      <c r="A18" s="200"/>
      <c r="B18" s="227"/>
      <c r="C18" s="204"/>
      <c r="D18" s="225"/>
      <c r="E18" s="225"/>
      <c r="F18" s="225"/>
      <c r="G18" s="205"/>
      <c r="H18" s="205"/>
      <c r="I18" s="225"/>
      <c r="J18" s="205"/>
      <c r="K18" s="205"/>
      <c r="L18" s="205"/>
      <c r="M18" s="219"/>
      <c r="N18" s="220"/>
      <c r="O18" s="124"/>
    </row>
    <row r="19" spans="1:15" ht="12.75" customHeight="1">
      <c r="A19" s="200"/>
      <c r="B19" s="228" t="s">
        <v>123</v>
      </c>
      <c r="C19" s="205"/>
      <c r="D19" s="354" t="s">
        <v>25</v>
      </c>
      <c r="E19" s="229">
        <v>-0.95</v>
      </c>
      <c r="F19" s="230">
        <v>0.95</v>
      </c>
      <c r="G19" s="205"/>
      <c r="H19" s="205"/>
      <c r="I19" s="225"/>
      <c r="J19" s="205"/>
      <c r="K19" s="205"/>
      <c r="L19" s="205"/>
      <c r="M19" s="219"/>
      <c r="N19" s="220"/>
      <c r="O19" s="124"/>
    </row>
    <row r="20" spans="1:15" ht="15.75" customHeight="1" thickBot="1">
      <c r="A20" s="200"/>
      <c r="B20" s="256">
        <v>1</v>
      </c>
      <c r="C20" s="205"/>
      <c r="D20" s="355" t="e">
        <f>$C$17*B20*Calc!Q41</f>
        <v>#DIV/0!</v>
      </c>
      <c r="E20" s="231" t="e">
        <f>$C$17*B20*Calc!Q43</f>
        <v>#DIV/0!</v>
      </c>
      <c r="F20" s="232" t="e">
        <f>$C$17*B20*Calc!Q42</f>
        <v>#DIV/0!</v>
      </c>
      <c r="G20" s="205"/>
      <c r="H20" s="205"/>
      <c r="I20" s="225"/>
      <c r="J20" s="205"/>
      <c r="K20" s="205"/>
      <c r="L20" s="205"/>
      <c r="M20" s="219"/>
      <c r="N20" s="220"/>
      <c r="O20" s="124"/>
    </row>
    <row r="21" spans="1:15" ht="12.75" customHeight="1" thickBot="1">
      <c r="A21" s="200"/>
      <c r="B21" s="205"/>
      <c r="C21" s="205"/>
      <c r="D21" s="205"/>
      <c r="E21" s="205"/>
      <c r="F21" s="205"/>
      <c r="G21" s="205"/>
      <c r="H21" s="205"/>
      <c r="I21" s="225"/>
      <c r="J21" s="205"/>
      <c r="K21" s="205"/>
      <c r="L21" s="205"/>
      <c r="M21" s="206"/>
      <c r="N21" s="207"/>
      <c r="O21" s="124"/>
    </row>
    <row r="22" spans="1:15" ht="12.75" customHeight="1">
      <c r="A22" s="200"/>
      <c r="B22" s="196"/>
      <c r="C22" s="233" t="s">
        <v>121</v>
      </c>
      <c r="D22" s="233" t="s">
        <v>122</v>
      </c>
      <c r="E22" s="210"/>
      <c r="F22" s="205"/>
      <c r="G22" s="205"/>
      <c r="H22" s="205"/>
      <c r="I22" s="225"/>
      <c r="J22" s="205"/>
      <c r="K22" s="205"/>
      <c r="L22" s="205"/>
      <c r="M22" s="206"/>
      <c r="N22" s="207"/>
      <c r="O22" s="124"/>
    </row>
    <row r="23" spans="1:15" ht="12.75" customHeight="1">
      <c r="A23" s="200"/>
      <c r="B23" s="234" t="s">
        <v>61</v>
      </c>
      <c r="C23" s="235" t="e">
        <f>+Calc!T59</f>
        <v>#DIV/0!</v>
      </c>
      <c r="D23" s="236" t="e">
        <f>+Calc!U59</f>
        <v>#NUM!</v>
      </c>
      <c r="E23" s="237" t="e">
        <f>IF(C23&gt;D23,"Error","Ok")</f>
        <v>#DIV/0!</v>
      </c>
      <c r="F23" s="205"/>
      <c r="G23" s="205"/>
      <c r="H23" s="205"/>
      <c r="I23" s="225"/>
      <c r="J23" s="205"/>
      <c r="K23" s="205"/>
      <c r="L23" s="205"/>
      <c r="M23" s="206"/>
      <c r="N23" s="207"/>
      <c r="O23" s="124"/>
    </row>
    <row r="24" spans="1:15" ht="12.75">
      <c r="A24" s="200"/>
      <c r="B24" s="238" t="s">
        <v>63</v>
      </c>
      <c r="C24" s="235" t="e">
        <f>+Calc!T60</f>
        <v>#DIV/0!</v>
      </c>
      <c r="D24" s="236" t="e">
        <f>+Calc!U60</f>
        <v>#NUM!</v>
      </c>
      <c r="E24" s="239" t="e">
        <f>IF(C24&gt;D24,"Error","Ok")</f>
        <v>#DIV/0!</v>
      </c>
      <c r="F24" s="205"/>
      <c r="G24" s="225"/>
      <c r="H24" s="225"/>
      <c r="I24" s="225"/>
      <c r="J24" s="205"/>
      <c r="K24" s="205"/>
      <c r="L24" s="205"/>
      <c r="M24" s="206"/>
      <c r="N24" s="207"/>
      <c r="O24" s="124"/>
    </row>
    <row r="25" spans="1:15" ht="13.5" thickBot="1">
      <c r="A25" s="200"/>
      <c r="B25" s="240" t="s">
        <v>62</v>
      </c>
      <c r="C25" s="241" t="e">
        <f>+Calc!T61</f>
        <v>#DIV/0!</v>
      </c>
      <c r="D25" s="242" t="e">
        <f>+Calc!U61</f>
        <v>#NUM!</v>
      </c>
      <c r="E25" s="243" t="e">
        <f>IF(C25&gt;D25,"Error","Ok")</f>
        <v>#DIV/0!</v>
      </c>
      <c r="F25" s="205"/>
      <c r="G25" s="225"/>
      <c r="H25" s="225"/>
      <c r="I25" s="225"/>
      <c r="J25" s="205"/>
      <c r="K25" s="205"/>
      <c r="L25" s="205"/>
      <c r="M25" s="206"/>
      <c r="N25" s="207"/>
      <c r="O25" s="124"/>
    </row>
    <row r="26" spans="1:15" ht="13.5" thickBot="1">
      <c r="A26" s="200"/>
      <c r="B26" s="206"/>
      <c r="C26" s="206"/>
      <c r="D26" s="206"/>
      <c r="E26" s="225"/>
      <c r="F26" s="225"/>
      <c r="G26" s="244"/>
      <c r="H26" s="244"/>
      <c r="I26" s="244"/>
      <c r="J26" s="205"/>
      <c r="K26" s="205"/>
      <c r="L26" s="205"/>
      <c r="M26" s="206"/>
      <c r="N26" s="207"/>
      <c r="O26" s="124"/>
    </row>
    <row r="27" spans="1:15" ht="12.75">
      <c r="A27" s="200"/>
      <c r="B27" s="245" t="s">
        <v>118</v>
      </c>
      <c r="C27" s="195"/>
      <c r="D27" s="246"/>
      <c r="E27" s="247"/>
      <c r="F27" s="248"/>
      <c r="G27" s="225"/>
      <c r="H27" s="225"/>
      <c r="I27" s="225"/>
      <c r="J27" s="205"/>
      <c r="K27" s="205"/>
      <c r="L27" s="205"/>
      <c r="M27" s="206"/>
      <c r="N27" s="207"/>
      <c r="O27" s="124"/>
    </row>
    <row r="28" spans="1:15" ht="12.75">
      <c r="A28" s="200"/>
      <c r="B28" s="249" t="s">
        <v>119</v>
      </c>
      <c r="C28" s="386"/>
      <c r="D28" s="370"/>
      <c r="E28" s="370"/>
      <c r="F28" s="371"/>
      <c r="G28" s="225"/>
      <c r="H28" s="225"/>
      <c r="I28" s="225"/>
      <c r="J28" s="205"/>
      <c r="K28" s="205"/>
      <c r="L28" s="205"/>
      <c r="M28" s="206"/>
      <c r="N28" s="207"/>
      <c r="O28" s="124"/>
    </row>
    <row r="29" spans="1:15" ht="12.75">
      <c r="A29" s="200"/>
      <c r="B29" s="250"/>
      <c r="C29" s="369"/>
      <c r="D29" s="370"/>
      <c r="E29" s="370"/>
      <c r="F29" s="371"/>
      <c r="G29" s="206"/>
      <c r="H29" s="206"/>
      <c r="I29" s="206"/>
      <c r="J29" s="205"/>
      <c r="K29" s="205"/>
      <c r="L29" s="205"/>
      <c r="M29" s="206"/>
      <c r="N29" s="207"/>
      <c r="O29" s="124"/>
    </row>
    <row r="30" spans="1:15" ht="13.5" thickBot="1">
      <c r="A30" s="200"/>
      <c r="B30" s="251"/>
      <c r="C30" s="372"/>
      <c r="D30" s="373"/>
      <c r="E30" s="373"/>
      <c r="F30" s="374"/>
      <c r="G30" s="206"/>
      <c r="H30" s="206"/>
      <c r="I30" s="206"/>
      <c r="J30" s="205"/>
      <c r="K30" s="205"/>
      <c r="L30" s="205"/>
      <c r="M30" s="206"/>
      <c r="N30" s="207"/>
      <c r="O30" s="124"/>
    </row>
    <row r="31" spans="1:15" ht="12.75">
      <c r="A31" s="200"/>
      <c r="B31" s="205"/>
      <c r="C31" s="205"/>
      <c r="D31" s="205"/>
      <c r="E31" s="205"/>
      <c r="F31" s="205"/>
      <c r="G31" s="244"/>
      <c r="H31" s="244"/>
      <c r="I31" s="244"/>
      <c r="J31" s="205"/>
      <c r="K31" s="205"/>
      <c r="L31" s="205"/>
      <c r="M31" s="206"/>
      <c r="N31" s="207"/>
      <c r="O31" s="124"/>
    </row>
    <row r="32" spans="1:15" ht="13.5" thickBot="1">
      <c r="A32" s="213"/>
      <c r="B32" s="214"/>
      <c r="C32" s="214"/>
      <c r="D32" s="214"/>
      <c r="E32" s="214"/>
      <c r="F32" s="214"/>
      <c r="G32" s="252"/>
      <c r="H32" s="252"/>
      <c r="I32" s="252"/>
      <c r="J32" s="214"/>
      <c r="K32" s="214"/>
      <c r="L32" s="214"/>
      <c r="M32" s="252"/>
      <c r="N32" s="253"/>
      <c r="O32" s="124"/>
    </row>
    <row r="33" spans="1:15" ht="12.75">
      <c r="A33" s="124"/>
      <c r="B33" s="124"/>
      <c r="C33" s="124"/>
      <c r="D33" s="124"/>
      <c r="E33" s="124"/>
      <c r="F33" s="124"/>
      <c r="G33" s="125"/>
      <c r="H33" s="125"/>
      <c r="I33" s="125"/>
      <c r="J33" s="124"/>
      <c r="K33" s="124"/>
      <c r="L33" s="124"/>
      <c r="M33" s="125"/>
      <c r="N33" s="125"/>
      <c r="O33" s="124"/>
    </row>
    <row r="34" spans="1:15" ht="12.75">
      <c r="A34" s="124"/>
      <c r="B34" s="111" t="s">
        <v>133</v>
      </c>
      <c r="C34" s="124"/>
      <c r="D34" s="124"/>
      <c r="E34" s="124"/>
      <c r="F34" s="124"/>
      <c r="G34" s="125"/>
      <c r="H34" s="125"/>
      <c r="I34" s="125"/>
      <c r="J34" s="124"/>
      <c r="K34" s="124"/>
      <c r="L34" s="124"/>
      <c r="M34" s="125"/>
      <c r="N34" s="125"/>
      <c r="O34" s="124"/>
    </row>
    <row r="35" spans="1:15" ht="12.75">
      <c r="A35" s="124"/>
      <c r="B35" s="124"/>
      <c r="C35" s="125"/>
      <c r="D35" s="125"/>
      <c r="E35" s="125"/>
      <c r="F35" s="125"/>
      <c r="G35" s="125"/>
      <c r="H35" s="125"/>
      <c r="I35" s="125"/>
      <c r="J35" s="124"/>
      <c r="K35" s="124"/>
      <c r="L35" s="124"/>
      <c r="M35" s="125"/>
      <c r="N35" s="125"/>
      <c r="O35" s="124"/>
    </row>
    <row r="36" spans="1:15" ht="12.75" customHeight="1">
      <c r="A36" s="124"/>
      <c r="B36" s="356" t="s">
        <v>132</v>
      </c>
      <c r="C36" s="125"/>
      <c r="D36" s="125"/>
      <c r="E36" s="125"/>
      <c r="F36" s="125"/>
      <c r="G36" s="125"/>
      <c r="H36" s="125"/>
      <c r="I36" s="125"/>
      <c r="J36" s="124"/>
      <c r="K36" s="124"/>
      <c r="L36" s="124"/>
      <c r="M36" s="125"/>
      <c r="N36" s="125"/>
      <c r="O36" s="124"/>
    </row>
    <row r="37" spans="1:15" ht="12.75">
      <c r="A37" s="124"/>
      <c r="B37" s="124"/>
      <c r="C37" s="125"/>
      <c r="D37" s="125"/>
      <c r="E37" s="125"/>
      <c r="F37" s="125"/>
      <c r="G37" s="125"/>
      <c r="H37" s="125"/>
      <c r="I37" s="125"/>
      <c r="J37" s="124"/>
      <c r="K37" s="124"/>
      <c r="L37" s="124"/>
      <c r="M37" s="125"/>
      <c r="N37" s="125"/>
      <c r="O37" s="124"/>
    </row>
    <row r="38" spans="1:15" ht="12.75">
      <c r="A38" s="131"/>
      <c r="B38" s="124"/>
      <c r="C38" s="120"/>
      <c r="D38" s="120"/>
      <c r="E38" s="120"/>
      <c r="F38" s="125"/>
      <c r="G38" s="125"/>
      <c r="H38" s="125"/>
      <c r="I38" s="125"/>
      <c r="J38" s="124"/>
      <c r="K38" s="124"/>
      <c r="L38" s="124"/>
      <c r="M38" s="125"/>
      <c r="N38" s="125"/>
      <c r="O38" s="124"/>
    </row>
    <row r="39" spans="1:15" ht="12.75">
      <c r="A39" s="131"/>
      <c r="B39" s="120"/>
      <c r="C39" s="120"/>
      <c r="D39" s="120"/>
      <c r="E39" s="120"/>
      <c r="F39" s="125"/>
      <c r="G39" s="125"/>
      <c r="H39" s="125"/>
      <c r="I39" s="125"/>
      <c r="J39" s="124"/>
      <c r="K39" s="124"/>
      <c r="L39" s="124"/>
      <c r="M39" s="125"/>
      <c r="N39" s="125"/>
      <c r="O39" s="124"/>
    </row>
    <row r="40" spans="1:15" ht="12.75">
      <c r="A40" s="131"/>
      <c r="B40" s="124"/>
      <c r="C40" s="120"/>
      <c r="D40" s="120"/>
      <c r="E40" s="120"/>
      <c r="F40" s="125"/>
      <c r="G40" s="125"/>
      <c r="H40" s="125"/>
      <c r="I40" s="125"/>
      <c r="J40" s="125"/>
      <c r="K40" s="125"/>
      <c r="L40" s="125"/>
      <c r="M40" s="125"/>
      <c r="N40" s="125"/>
      <c r="O40" s="124"/>
    </row>
    <row r="41" spans="1:15" ht="12.75">
      <c r="A41" s="131"/>
      <c r="B41" s="124"/>
      <c r="C41" s="120"/>
      <c r="D41" s="120"/>
      <c r="E41" s="120"/>
      <c r="F41" s="125"/>
      <c r="G41" s="125"/>
      <c r="H41" s="125"/>
      <c r="I41" s="125"/>
      <c r="J41" s="124"/>
      <c r="K41" s="124"/>
      <c r="L41" s="124"/>
      <c r="M41" s="125"/>
      <c r="N41" s="125"/>
      <c r="O41" s="124"/>
    </row>
    <row r="42" spans="1:15" ht="12.75">
      <c r="A42" s="131"/>
      <c r="B42" s="120"/>
      <c r="C42" s="120"/>
      <c r="D42" s="120"/>
      <c r="E42" s="120"/>
      <c r="F42" s="125"/>
      <c r="G42" s="125"/>
      <c r="H42" s="125"/>
      <c r="I42" s="125"/>
      <c r="J42" s="124"/>
      <c r="K42" s="124"/>
      <c r="L42" s="124"/>
      <c r="M42" s="125"/>
      <c r="N42" s="125"/>
      <c r="O42" s="124"/>
    </row>
    <row r="43" spans="1:15" ht="12.75">
      <c r="A43" s="131"/>
      <c r="B43" s="124"/>
      <c r="C43" s="120"/>
      <c r="D43" s="120"/>
      <c r="E43" s="120"/>
      <c r="F43" s="125"/>
      <c r="G43" s="125"/>
      <c r="H43" s="125"/>
      <c r="I43" s="125"/>
      <c r="J43" s="125"/>
      <c r="K43" s="125"/>
      <c r="L43" s="125"/>
      <c r="M43" s="125"/>
      <c r="N43" s="125"/>
      <c r="O43" s="124"/>
    </row>
    <row r="44" spans="1:15" ht="12.75">
      <c r="A44" s="131"/>
      <c r="B44" s="124"/>
      <c r="C44" s="120"/>
      <c r="D44" s="120"/>
      <c r="E44" s="120"/>
      <c r="F44" s="125"/>
      <c r="G44" s="125"/>
      <c r="H44" s="125"/>
      <c r="I44" s="125"/>
      <c r="J44" s="124"/>
      <c r="K44" s="124"/>
      <c r="L44" s="124"/>
      <c r="M44" s="125"/>
      <c r="N44" s="125"/>
      <c r="O44" s="124"/>
    </row>
    <row r="45" spans="1:15" ht="12.75">
      <c r="A45" s="131"/>
      <c r="B45" s="120"/>
      <c r="C45" s="120"/>
      <c r="D45" s="120"/>
      <c r="E45" s="120"/>
      <c r="F45" s="125"/>
      <c r="G45" s="125"/>
      <c r="H45" s="125"/>
      <c r="I45" s="125"/>
      <c r="J45" s="124"/>
      <c r="K45" s="124"/>
      <c r="L45" s="124"/>
      <c r="M45" s="125"/>
      <c r="N45" s="125"/>
      <c r="O45" s="124"/>
    </row>
    <row r="46" spans="1:15" ht="12.75">
      <c r="A46" s="131"/>
      <c r="B46" s="124"/>
      <c r="C46" s="120"/>
      <c r="D46" s="120"/>
      <c r="E46" s="120"/>
      <c r="F46" s="125"/>
      <c r="G46" s="125"/>
      <c r="H46" s="125"/>
      <c r="I46" s="125"/>
      <c r="J46" s="125"/>
      <c r="K46" s="125"/>
      <c r="L46" s="125"/>
      <c r="M46" s="125"/>
      <c r="N46" s="125"/>
      <c r="O46" s="124"/>
    </row>
    <row r="47" spans="1:15" ht="12.75">
      <c r="A47" s="131"/>
      <c r="B47" s="124"/>
      <c r="C47" s="120"/>
      <c r="D47" s="120"/>
      <c r="E47" s="120"/>
      <c r="F47" s="125"/>
      <c r="G47" s="125"/>
      <c r="H47" s="125"/>
      <c r="I47" s="125"/>
      <c r="J47" s="124"/>
      <c r="K47" s="124"/>
      <c r="L47" s="124"/>
      <c r="M47" s="125"/>
      <c r="N47" s="125"/>
      <c r="O47" s="124"/>
    </row>
    <row r="48" spans="1:15" ht="12.75">
      <c r="A48" s="131"/>
      <c r="B48" s="120"/>
      <c r="C48" s="120"/>
      <c r="D48" s="120"/>
      <c r="E48" s="120"/>
      <c r="F48" s="125"/>
      <c r="G48" s="125"/>
      <c r="H48" s="125"/>
      <c r="I48" s="125"/>
      <c r="J48" s="124"/>
      <c r="K48" s="124"/>
      <c r="L48" s="124"/>
      <c r="M48" s="125"/>
      <c r="N48" s="125"/>
      <c r="O48" s="124"/>
    </row>
    <row r="49" spans="1:15" ht="12.75">
      <c r="A49" s="131"/>
      <c r="B49" s="124"/>
      <c r="C49" s="120"/>
      <c r="D49" s="120"/>
      <c r="E49" s="120"/>
      <c r="F49" s="125"/>
      <c r="G49" s="125"/>
      <c r="H49" s="125"/>
      <c r="I49" s="125"/>
      <c r="J49" s="125"/>
      <c r="K49" s="125"/>
      <c r="L49" s="125"/>
      <c r="M49" s="125"/>
      <c r="N49" s="125"/>
      <c r="O49" s="124"/>
    </row>
    <row r="50" spans="1:15" ht="12.75">
      <c r="A50" s="131"/>
      <c r="B50" s="124"/>
      <c r="C50" s="120"/>
      <c r="D50" s="120"/>
      <c r="E50" s="120"/>
      <c r="F50" s="125"/>
      <c r="G50" s="125"/>
      <c r="H50" s="125"/>
      <c r="I50" s="125"/>
      <c r="J50" s="124"/>
      <c r="K50" s="124"/>
      <c r="L50" s="124"/>
      <c r="M50" s="125"/>
      <c r="N50" s="125"/>
      <c r="O50" s="124"/>
    </row>
    <row r="51" spans="1:15" ht="12.75">
      <c r="A51" s="131"/>
      <c r="B51" s="120"/>
      <c r="C51" s="120"/>
      <c r="D51" s="120"/>
      <c r="E51" s="120"/>
      <c r="F51" s="125"/>
      <c r="G51" s="125"/>
      <c r="H51" s="125"/>
      <c r="I51" s="125"/>
      <c r="J51" s="124"/>
      <c r="K51" s="124"/>
      <c r="L51" s="124"/>
      <c r="M51" s="125"/>
      <c r="N51" s="125"/>
      <c r="O51" s="124"/>
    </row>
    <row r="52" spans="1:15" ht="12.75">
      <c r="A52" s="131"/>
      <c r="B52" s="124"/>
      <c r="C52" s="120"/>
      <c r="D52" s="120"/>
      <c r="E52" s="120"/>
      <c r="F52" s="125"/>
      <c r="G52" s="125"/>
      <c r="H52" s="125"/>
      <c r="I52" s="125"/>
      <c r="J52" s="125"/>
      <c r="K52" s="125"/>
      <c r="L52" s="125"/>
      <c r="M52" s="125"/>
      <c r="N52" s="125"/>
      <c r="O52" s="124"/>
    </row>
    <row r="53" spans="1:15" ht="12.75">
      <c r="A53" s="131"/>
      <c r="B53" s="124"/>
      <c r="C53" s="120"/>
      <c r="D53" s="120"/>
      <c r="E53" s="120"/>
      <c r="F53" s="125"/>
      <c r="G53" s="125"/>
      <c r="H53" s="125"/>
      <c r="I53" s="125"/>
      <c r="J53" s="124"/>
      <c r="K53" s="124"/>
      <c r="L53" s="124"/>
      <c r="M53" s="125"/>
      <c r="N53" s="125"/>
      <c r="O53" s="124"/>
    </row>
    <row r="54" spans="1:15" ht="12.75">
      <c r="A54" s="131"/>
      <c r="B54" s="120"/>
      <c r="C54" s="120"/>
      <c r="D54" s="120"/>
      <c r="E54" s="120"/>
      <c r="F54" s="125"/>
      <c r="G54" s="125"/>
      <c r="H54" s="125"/>
      <c r="I54" s="125"/>
      <c r="J54" s="124"/>
      <c r="K54" s="124"/>
      <c r="L54" s="124"/>
      <c r="M54" s="125"/>
      <c r="N54" s="125"/>
      <c r="O54" s="124"/>
    </row>
    <row r="55" spans="1:15" ht="12.75">
      <c r="A55" s="131"/>
      <c r="B55" s="124"/>
      <c r="C55" s="120"/>
      <c r="D55" s="120"/>
      <c r="E55" s="120"/>
      <c r="F55" s="125"/>
      <c r="G55" s="125"/>
      <c r="H55" s="125"/>
      <c r="I55" s="125"/>
      <c r="J55" s="125"/>
      <c r="K55" s="125"/>
      <c r="L55" s="125"/>
      <c r="M55" s="125"/>
      <c r="N55" s="125"/>
      <c r="O55" s="124"/>
    </row>
  </sheetData>
  <sheetProtection/>
  <mergeCells count="7">
    <mergeCell ref="C29:F29"/>
    <mergeCell ref="C30:F30"/>
    <mergeCell ref="B2:H2"/>
    <mergeCell ref="J2:L2"/>
    <mergeCell ref="B9:H9"/>
    <mergeCell ref="C16:D16"/>
    <mergeCell ref="C28:F28"/>
  </mergeCells>
  <conditionalFormatting sqref="E23">
    <cfRule type="expression" priority="1" dxfId="12" stopIfTrue="1">
      <formula>$C$23&lt;$D$23</formula>
    </cfRule>
    <cfRule type="expression" priority="2" dxfId="0" stopIfTrue="1">
      <formula>$C$23&gt;=$D$23</formula>
    </cfRule>
  </conditionalFormatting>
  <conditionalFormatting sqref="E24">
    <cfRule type="expression" priority="3" dxfId="12" stopIfTrue="1">
      <formula>$C$24&lt;$D$24</formula>
    </cfRule>
    <cfRule type="expression" priority="4" dxfId="0" stopIfTrue="1">
      <formula>$C$24&gt;=$D$24</formula>
    </cfRule>
  </conditionalFormatting>
  <conditionalFormatting sqref="E25">
    <cfRule type="expression" priority="5" dxfId="12" stopIfTrue="1">
      <formula>$C$25&lt;$D$25</formula>
    </cfRule>
    <cfRule type="expression" priority="6" dxfId="0" stopIfTrue="1">
      <formula>$C$25&gt;=$D$25</formula>
    </cfRule>
  </conditionalFormatting>
  <printOptions gridLines="1"/>
  <pageMargins left="0.75" right="0.75" top="1" bottom="1" header="0.5" footer="0.5"/>
  <pageSetup fitToHeight="1" fitToWidth="1" horizontalDpi="300" verticalDpi="300" orientation="landscape" paperSize="9" scale="95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9.7109375" style="0" customWidth="1"/>
    <col min="2" max="2" width="40.140625" style="0" customWidth="1"/>
    <col min="4" max="4" width="15.8515625" style="0" customWidth="1"/>
  </cols>
  <sheetData>
    <row r="1" spans="1:15" ht="13.5" thickBot="1">
      <c r="A1" s="194" t="s">
        <v>131</v>
      </c>
      <c r="B1" t="s">
        <v>130</v>
      </c>
      <c r="C1" s="124"/>
      <c r="D1" s="8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93" t="s">
        <v>120</v>
      </c>
    </row>
    <row r="2" spans="1:15" ht="15" customHeight="1" thickBot="1">
      <c r="A2" t="s">
        <v>128</v>
      </c>
      <c r="C2" s="124"/>
      <c r="D2" s="387" t="s">
        <v>24</v>
      </c>
      <c r="E2" s="388"/>
      <c r="F2" s="388"/>
      <c r="G2" s="388"/>
      <c r="H2" s="388"/>
      <c r="I2" s="388"/>
      <c r="J2" s="389"/>
      <c r="K2" s="126"/>
      <c r="L2" s="378" t="s">
        <v>61</v>
      </c>
      <c r="M2" s="379"/>
      <c r="N2" s="380"/>
      <c r="O2" s="126"/>
    </row>
    <row r="3" spans="1:15" ht="13.5" thickBot="1">
      <c r="A3" t="s">
        <v>129</v>
      </c>
      <c r="C3" s="124"/>
      <c r="D3" s="127" t="s">
        <v>93</v>
      </c>
      <c r="E3" s="165">
        <v>0.05</v>
      </c>
      <c r="F3" s="166">
        <v>0.1</v>
      </c>
      <c r="G3" s="166">
        <v>0.15</v>
      </c>
      <c r="H3" s="166">
        <v>0.2</v>
      </c>
      <c r="I3" s="166">
        <v>0.25</v>
      </c>
      <c r="J3" s="167"/>
      <c r="K3" s="118"/>
      <c r="L3" s="124"/>
      <c r="M3" s="124"/>
      <c r="N3" s="124"/>
      <c r="O3" s="125"/>
    </row>
    <row r="4" spans="1:15" ht="12.75">
      <c r="A4" s="8" t="s">
        <v>127</v>
      </c>
      <c r="C4" s="124"/>
      <c r="D4" s="146" t="s">
        <v>3</v>
      </c>
      <c r="E4" s="149">
        <v>3.5</v>
      </c>
      <c r="F4" s="1">
        <v>5</v>
      </c>
      <c r="G4" s="1">
        <v>6.2</v>
      </c>
      <c r="H4" s="1">
        <v>8</v>
      </c>
      <c r="I4" s="1">
        <v>9.4</v>
      </c>
      <c r="J4" s="116"/>
      <c r="K4" s="118"/>
      <c r="L4" s="130" t="s">
        <v>14</v>
      </c>
      <c r="M4" s="129"/>
      <c r="N4" s="159">
        <v>1.5</v>
      </c>
      <c r="O4" s="125"/>
    </row>
    <row r="5" spans="1:15" ht="12.75">
      <c r="A5" s="8" t="s">
        <v>116</v>
      </c>
      <c r="C5" s="124"/>
      <c r="D5" s="147"/>
      <c r="E5" s="149">
        <v>3.2</v>
      </c>
      <c r="F5" s="1">
        <v>4.7</v>
      </c>
      <c r="G5" s="1">
        <v>6.1</v>
      </c>
      <c r="H5" s="1">
        <v>7.7</v>
      </c>
      <c r="I5" s="1">
        <v>9.5</v>
      </c>
      <c r="J5" s="116"/>
      <c r="K5" s="118"/>
      <c r="L5" s="133"/>
      <c r="M5" s="132"/>
      <c r="N5" s="160">
        <v>1.4</v>
      </c>
      <c r="O5" s="120"/>
    </row>
    <row r="6" spans="1:15" ht="12.75">
      <c r="A6" s="6" t="s">
        <v>126</v>
      </c>
      <c r="C6" s="124"/>
      <c r="D6" s="147"/>
      <c r="E6" s="149"/>
      <c r="F6" s="1"/>
      <c r="G6" s="1"/>
      <c r="H6" s="1"/>
      <c r="I6" s="1"/>
      <c r="J6" s="116"/>
      <c r="K6" s="118"/>
      <c r="L6" s="133"/>
      <c r="M6" s="132"/>
      <c r="N6" s="160"/>
      <c r="O6" s="120"/>
    </row>
    <row r="7" spans="1:15" ht="13.5" thickBot="1">
      <c r="A7" s="8"/>
      <c r="C7" s="124"/>
      <c r="D7" s="148"/>
      <c r="E7" s="150"/>
      <c r="F7" s="123"/>
      <c r="G7" s="123"/>
      <c r="H7" s="123"/>
      <c r="I7" s="123"/>
      <c r="J7" s="117"/>
      <c r="K7" s="118"/>
      <c r="L7" s="135"/>
      <c r="M7" s="134"/>
      <c r="N7" s="161"/>
      <c r="O7" s="120"/>
    </row>
    <row r="8" spans="1:15" ht="13.5" thickBot="1">
      <c r="A8" s="365" t="s">
        <v>134</v>
      </c>
      <c r="C8" s="124"/>
      <c r="D8" s="124"/>
      <c r="E8" s="124"/>
      <c r="F8" s="124"/>
      <c r="G8" s="124"/>
      <c r="H8" s="124"/>
      <c r="I8" s="124"/>
      <c r="J8" s="124"/>
      <c r="K8" s="136"/>
      <c r="L8" s="124"/>
      <c r="M8" s="124"/>
      <c r="N8" s="124"/>
      <c r="O8" s="120"/>
    </row>
    <row r="9" spans="1:15" ht="14.25" customHeight="1" thickBot="1">
      <c r="A9" s="8" t="s">
        <v>135</v>
      </c>
      <c r="C9" s="124"/>
      <c r="D9" s="381" t="s">
        <v>69</v>
      </c>
      <c r="E9" s="382"/>
      <c r="F9" s="382"/>
      <c r="G9" s="382"/>
      <c r="H9" s="382"/>
      <c r="I9" s="382"/>
      <c r="J9" s="383"/>
      <c r="K9" s="136"/>
      <c r="L9" s="124"/>
      <c r="M9" s="124"/>
      <c r="N9" s="124"/>
      <c r="O9" s="125"/>
    </row>
    <row r="10" spans="1:15" ht="13.5" thickBot="1">
      <c r="A10" s="8" t="s">
        <v>136</v>
      </c>
      <c r="C10" s="124"/>
      <c r="D10" s="137" t="s">
        <v>5</v>
      </c>
      <c r="E10" s="165">
        <v>1</v>
      </c>
      <c r="F10" s="166">
        <v>1.5</v>
      </c>
      <c r="G10" s="166">
        <v>2</v>
      </c>
      <c r="H10" s="166"/>
      <c r="I10" s="166"/>
      <c r="J10" s="167"/>
      <c r="K10" s="136"/>
      <c r="L10" s="124"/>
      <c r="M10" s="124"/>
      <c r="N10" s="124"/>
      <c r="O10" s="125"/>
    </row>
    <row r="11" spans="3:15" ht="12.75">
      <c r="C11" s="124"/>
      <c r="D11" s="121" t="s">
        <v>4</v>
      </c>
      <c r="E11" s="149">
        <v>4.9</v>
      </c>
      <c r="F11" s="1">
        <v>6.3</v>
      </c>
      <c r="G11" s="1">
        <v>7.7</v>
      </c>
      <c r="H11" s="1"/>
      <c r="I11" s="1"/>
      <c r="J11" s="116"/>
      <c r="K11" s="136"/>
      <c r="L11" s="124"/>
      <c r="M11" s="124"/>
      <c r="N11" s="124"/>
      <c r="O11" s="138"/>
    </row>
    <row r="12" spans="1:15" ht="12.75">
      <c r="A12" s="194" t="s">
        <v>138</v>
      </c>
      <c r="C12" s="124"/>
      <c r="D12" s="119"/>
      <c r="E12" s="149">
        <v>4.8</v>
      </c>
      <c r="F12" s="1">
        <v>6.5</v>
      </c>
      <c r="G12" s="1">
        <v>7.7</v>
      </c>
      <c r="H12" s="1"/>
      <c r="I12" s="1"/>
      <c r="J12" s="116"/>
      <c r="K12" s="136"/>
      <c r="L12" s="124"/>
      <c r="M12" s="124"/>
      <c r="N12" s="124"/>
      <c r="O12" s="138"/>
    </row>
    <row r="13" spans="1:15" ht="12.75">
      <c r="A13" s="368" t="s">
        <v>139</v>
      </c>
      <c r="C13" s="124"/>
      <c r="D13" s="119"/>
      <c r="E13" s="149"/>
      <c r="F13" s="1"/>
      <c r="G13" s="1"/>
      <c r="H13" s="1"/>
      <c r="I13" s="1"/>
      <c r="J13" s="116"/>
      <c r="K13" s="136"/>
      <c r="L13" s="124"/>
      <c r="M13" s="124"/>
      <c r="N13" s="124"/>
      <c r="O13" s="138"/>
    </row>
    <row r="14" spans="3:15" ht="13.5" thickBot="1">
      <c r="C14" s="124"/>
      <c r="D14" s="122"/>
      <c r="E14" s="150"/>
      <c r="F14" s="123"/>
      <c r="G14" s="123"/>
      <c r="H14" s="123"/>
      <c r="I14" s="123"/>
      <c r="J14" s="117"/>
      <c r="K14" s="136"/>
      <c r="L14" s="124"/>
      <c r="M14" s="124"/>
      <c r="N14" s="124"/>
      <c r="O14" s="138"/>
    </row>
    <row r="15" spans="3:15" ht="13.5" thickBot="1">
      <c r="C15" s="124"/>
      <c r="D15" s="124"/>
      <c r="E15" s="124"/>
      <c r="F15" s="124"/>
      <c r="G15" s="124"/>
      <c r="H15" s="124"/>
      <c r="I15" s="124"/>
      <c r="J15" s="124"/>
      <c r="K15" s="139"/>
      <c r="L15" s="124"/>
      <c r="M15" s="124"/>
      <c r="N15" s="124"/>
      <c r="O15" s="138"/>
    </row>
    <row r="16" spans="3:15" ht="12.75">
      <c r="C16" s="124"/>
      <c r="D16" s="157" t="s">
        <v>124</v>
      </c>
      <c r="E16" s="390"/>
      <c r="F16" s="391"/>
      <c r="G16" s="140"/>
      <c r="H16" s="140"/>
      <c r="I16" s="124"/>
      <c r="J16" s="124"/>
      <c r="K16" s="139"/>
      <c r="L16" s="124"/>
      <c r="M16" s="124"/>
      <c r="N16" s="124"/>
      <c r="O16" s="138"/>
    </row>
    <row r="17" spans="3:15" ht="13.5" thickBot="1">
      <c r="C17" s="124"/>
      <c r="D17" s="158" t="s">
        <v>25</v>
      </c>
      <c r="E17" s="150">
        <v>1</v>
      </c>
      <c r="F17" s="117"/>
      <c r="G17" s="140"/>
      <c r="H17" s="140"/>
      <c r="I17" s="124"/>
      <c r="J17" s="124"/>
      <c r="K17" s="140"/>
      <c r="L17" s="124"/>
      <c r="M17" s="124"/>
      <c r="N17" s="124"/>
      <c r="O17" s="138"/>
    </row>
    <row r="18" spans="3:15" ht="13.5" thickBot="1">
      <c r="C18" s="124"/>
      <c r="D18" s="141"/>
      <c r="E18" s="142"/>
      <c r="F18" s="140"/>
      <c r="G18" s="140"/>
      <c r="H18" s="140"/>
      <c r="I18" s="124"/>
      <c r="J18" s="124"/>
      <c r="K18" s="140"/>
      <c r="L18" s="124"/>
      <c r="M18" s="124"/>
      <c r="N18" s="124"/>
      <c r="O18" s="138"/>
    </row>
    <row r="19" spans="3:15" ht="12.75">
      <c r="C19" s="124"/>
      <c r="D19" s="162" t="s">
        <v>123</v>
      </c>
      <c r="E19" s="124"/>
      <c r="F19" s="185" t="s">
        <v>25</v>
      </c>
      <c r="G19" s="151">
        <v>-0.95</v>
      </c>
      <c r="H19" s="152">
        <v>0.95</v>
      </c>
      <c r="I19" s="124"/>
      <c r="J19" s="124"/>
      <c r="K19" s="140"/>
      <c r="L19" s="124"/>
      <c r="M19" s="124"/>
      <c r="N19" s="124"/>
      <c r="O19" s="138"/>
    </row>
    <row r="20" spans="3:15" ht="16.5" thickBot="1">
      <c r="C20" s="124"/>
      <c r="D20" s="163">
        <v>5000</v>
      </c>
      <c r="E20" s="124"/>
      <c r="F20" s="192">
        <v>495.82268802566045</v>
      </c>
      <c r="G20" s="186">
        <v>478.7254921839454</v>
      </c>
      <c r="H20" s="187">
        <v>513.1017911294721</v>
      </c>
      <c r="I20" s="124"/>
      <c r="J20" s="124"/>
      <c r="K20" s="140"/>
      <c r="L20" s="124"/>
      <c r="M20" s="124"/>
      <c r="N20" s="124"/>
      <c r="O20" s="138"/>
    </row>
    <row r="21" spans="3:15" ht="13.5" thickBot="1">
      <c r="C21" s="131"/>
      <c r="D21" s="124"/>
      <c r="E21" s="124"/>
      <c r="F21" s="124"/>
      <c r="G21" s="124"/>
      <c r="H21" s="124"/>
      <c r="I21" s="124"/>
      <c r="J21" s="124" t="s">
        <v>125</v>
      </c>
      <c r="K21" s="140"/>
      <c r="L21" s="124"/>
      <c r="M21" s="124"/>
      <c r="N21" s="124"/>
      <c r="O21" s="125"/>
    </row>
    <row r="22" spans="3:15" ht="12.75">
      <c r="C22" s="131"/>
      <c r="D22" s="130"/>
      <c r="E22" s="191" t="s">
        <v>121</v>
      </c>
      <c r="F22" s="191" t="s">
        <v>122</v>
      </c>
      <c r="G22" s="129"/>
      <c r="H22" s="124"/>
      <c r="I22" s="124"/>
      <c r="J22" s="124"/>
      <c r="K22" s="140"/>
      <c r="L22" s="124"/>
      <c r="M22" s="124"/>
      <c r="N22" s="124"/>
      <c r="O22" s="125"/>
    </row>
    <row r="23" spans="3:15" ht="12.75">
      <c r="C23" s="131"/>
      <c r="D23" s="164" t="s">
        <v>61</v>
      </c>
      <c r="E23" s="144">
        <v>7.441165329050517</v>
      </c>
      <c r="F23" s="143">
        <v>5.117357204653672</v>
      </c>
      <c r="G23" s="188" t="s">
        <v>59</v>
      </c>
      <c r="H23" s="124"/>
      <c r="I23" s="124"/>
      <c r="J23" s="124"/>
      <c r="K23" s="140"/>
      <c r="L23" s="124"/>
      <c r="M23" s="124"/>
      <c r="N23" s="124"/>
      <c r="O23" s="125"/>
    </row>
    <row r="24" spans="3:15" ht="12.75">
      <c r="C24" s="124"/>
      <c r="D24" s="153" t="s">
        <v>63</v>
      </c>
      <c r="E24" s="144">
        <v>1.2857142857147361</v>
      </c>
      <c r="F24" s="143">
        <v>5.117357204653672</v>
      </c>
      <c r="G24" s="189" t="s">
        <v>117</v>
      </c>
      <c r="H24" s="124"/>
      <c r="I24" s="140"/>
      <c r="J24" s="140"/>
      <c r="K24" s="140"/>
      <c r="L24" s="124"/>
      <c r="M24" s="124"/>
      <c r="N24" s="124"/>
      <c r="O24" s="125"/>
    </row>
    <row r="25" spans="3:15" ht="13.5" thickBot="1">
      <c r="C25" s="124"/>
      <c r="D25" s="154" t="s">
        <v>62</v>
      </c>
      <c r="E25" s="155">
        <v>1.4</v>
      </c>
      <c r="F25" s="156">
        <v>3.6330902730696835</v>
      </c>
      <c r="G25" s="190" t="s">
        <v>117</v>
      </c>
      <c r="H25" s="124"/>
      <c r="I25" s="140"/>
      <c r="J25" s="140"/>
      <c r="K25" s="140"/>
      <c r="L25" s="124"/>
      <c r="M25" s="124"/>
      <c r="N25" s="124"/>
      <c r="O25" s="125"/>
    </row>
    <row r="26" spans="3:15" ht="13.5" thickBot="1">
      <c r="C26" s="124"/>
      <c r="D26" s="125"/>
      <c r="E26" s="125"/>
      <c r="F26" s="125"/>
      <c r="G26" s="140"/>
      <c r="H26" s="140"/>
      <c r="I26" s="145"/>
      <c r="J26" s="145"/>
      <c r="K26" s="145"/>
      <c r="L26" s="124"/>
      <c r="M26" s="124"/>
      <c r="N26" s="124"/>
      <c r="O26" s="125"/>
    </row>
    <row r="27" spans="3:15" ht="12.75">
      <c r="C27" s="124"/>
      <c r="D27" s="168" t="s">
        <v>118</v>
      </c>
      <c r="E27" s="128"/>
      <c r="F27" s="169"/>
      <c r="G27" s="170"/>
      <c r="H27" s="171"/>
      <c r="I27" s="140"/>
      <c r="J27" s="140"/>
      <c r="K27" s="140"/>
      <c r="L27" s="124"/>
      <c r="M27" s="124"/>
      <c r="N27" s="124"/>
      <c r="O27" s="125"/>
    </row>
    <row r="28" spans="3:15" ht="12.75">
      <c r="C28" s="124"/>
      <c r="D28" s="172" t="s">
        <v>119</v>
      </c>
      <c r="E28" s="131"/>
      <c r="F28" s="173"/>
      <c r="G28" s="174"/>
      <c r="H28" s="175"/>
      <c r="I28" s="140"/>
      <c r="J28" s="140"/>
      <c r="K28" s="140"/>
      <c r="L28" s="124"/>
      <c r="M28" s="124"/>
      <c r="N28" s="124"/>
      <c r="O28" s="125"/>
    </row>
    <row r="29" spans="3:15" ht="12.75">
      <c r="C29" s="124"/>
      <c r="D29" s="176"/>
      <c r="E29" s="177"/>
      <c r="F29" s="178"/>
      <c r="G29" s="178"/>
      <c r="H29" s="179"/>
      <c r="I29" s="125"/>
      <c r="J29" s="125"/>
      <c r="K29" s="125"/>
      <c r="L29" s="124"/>
      <c r="M29" s="124"/>
      <c r="N29" s="124"/>
      <c r="O29" s="125"/>
    </row>
    <row r="30" spans="3:15" ht="13.5" thickBot="1">
      <c r="C30" s="124"/>
      <c r="D30" s="180"/>
      <c r="E30" s="181"/>
      <c r="F30" s="182"/>
      <c r="G30" s="183"/>
      <c r="H30" s="184"/>
      <c r="I30" s="125"/>
      <c r="J30" s="125"/>
      <c r="K30" s="125"/>
      <c r="L30" s="124"/>
      <c r="M30" s="124"/>
      <c r="N30" s="124"/>
      <c r="O30" s="125"/>
    </row>
    <row r="31" spans="3:15" ht="12.75">
      <c r="C31" s="124"/>
      <c r="D31" s="124"/>
      <c r="E31" s="124"/>
      <c r="F31" s="124"/>
      <c r="G31" s="124"/>
      <c r="H31" s="124"/>
      <c r="I31" s="145"/>
      <c r="J31" s="145"/>
      <c r="K31" s="145"/>
      <c r="L31" s="124"/>
      <c r="M31" s="124"/>
      <c r="N31" s="124"/>
      <c r="O31" s="125"/>
    </row>
    <row r="32" spans="3:15" ht="12.75">
      <c r="C32" s="124"/>
      <c r="D32" s="124"/>
      <c r="E32" s="124"/>
      <c r="F32" s="124"/>
      <c r="G32" s="124"/>
      <c r="H32" s="124"/>
      <c r="I32" s="125"/>
      <c r="J32" s="125"/>
      <c r="K32" s="125"/>
      <c r="L32" s="124"/>
      <c r="M32" s="124"/>
      <c r="N32" s="124"/>
      <c r="O32" s="125"/>
    </row>
    <row r="33" spans="3:15" ht="12.75">
      <c r="C33" s="124"/>
      <c r="D33" s="124" t="s">
        <v>115</v>
      </c>
      <c r="E33" s="124"/>
      <c r="F33" s="124"/>
      <c r="G33" s="124"/>
      <c r="H33" s="124"/>
      <c r="I33" s="125"/>
      <c r="J33" s="125"/>
      <c r="K33" s="125"/>
      <c r="L33" s="124"/>
      <c r="M33" s="124"/>
      <c r="N33" s="124"/>
      <c r="O33" s="125"/>
    </row>
    <row r="34" spans="3:15" ht="12.75">
      <c r="C34" s="124"/>
      <c r="D34" s="124" t="s">
        <v>127</v>
      </c>
      <c r="E34" s="124"/>
      <c r="F34" s="124"/>
      <c r="G34" s="124"/>
      <c r="H34" s="124"/>
      <c r="I34" s="125"/>
      <c r="J34" s="125"/>
      <c r="K34" s="125"/>
      <c r="L34" s="124"/>
      <c r="M34" s="124"/>
      <c r="N34" s="124"/>
      <c r="O34" s="125"/>
    </row>
    <row r="35" spans="3:15" ht="12.75">
      <c r="C35" s="124"/>
      <c r="D35" s="124" t="s">
        <v>116</v>
      </c>
      <c r="E35" s="125"/>
      <c r="F35" s="125"/>
      <c r="G35" s="125"/>
      <c r="H35" s="125"/>
      <c r="I35" s="125"/>
      <c r="J35" s="125"/>
      <c r="K35" s="125"/>
      <c r="L35" s="124"/>
      <c r="M35" s="124"/>
      <c r="N35" s="124"/>
      <c r="O35" s="125"/>
    </row>
    <row r="36" spans="3:15" ht="12.75">
      <c r="C36" s="124"/>
      <c r="D36" s="125" t="s">
        <v>126</v>
      </c>
      <c r="E36" s="125"/>
      <c r="F36" s="125"/>
      <c r="G36" s="125"/>
      <c r="H36" s="125"/>
      <c r="I36" s="125"/>
      <c r="J36" s="125"/>
      <c r="K36" s="125"/>
      <c r="L36" s="124"/>
      <c r="M36" s="124"/>
      <c r="N36" s="124"/>
      <c r="O36" s="125"/>
    </row>
  </sheetData>
  <sheetProtection/>
  <mergeCells count="4">
    <mergeCell ref="D2:J2"/>
    <mergeCell ref="L2:N2"/>
    <mergeCell ref="D9:J9"/>
    <mergeCell ref="E16:F16"/>
  </mergeCells>
  <conditionalFormatting sqref="G23">
    <cfRule type="expression" priority="1" dxfId="12" stopIfTrue="1">
      <formula>$E$23&lt;$F$23</formula>
    </cfRule>
    <cfRule type="expression" priority="2" dxfId="0" stopIfTrue="1">
      <formula>$E$23&gt;=$F$23</formula>
    </cfRule>
  </conditionalFormatting>
  <conditionalFormatting sqref="G24">
    <cfRule type="expression" priority="3" dxfId="12" stopIfTrue="1">
      <formula>$E$24&lt;$F$24</formula>
    </cfRule>
    <cfRule type="expression" priority="4" dxfId="0" stopIfTrue="1">
      <formula>$E$24&gt;=$F$24</formula>
    </cfRule>
  </conditionalFormatting>
  <conditionalFormatting sqref="G25">
    <cfRule type="expression" priority="5" dxfId="12" stopIfTrue="1">
      <formula>$E$25&lt;$F$25</formula>
    </cfRule>
    <cfRule type="expression" priority="6" dxfId="0" stopIfTrue="1">
      <formula>$E$25&gt;=$F$25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9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28125" style="0" customWidth="1"/>
    <col min="2" max="2" width="18.140625" style="0" customWidth="1"/>
    <col min="14" max="14" width="9.57421875" style="0" customWidth="1"/>
    <col min="15" max="15" width="30.28125" style="0" bestFit="1" customWidth="1"/>
    <col min="16" max="16" width="12.7109375" style="0" customWidth="1"/>
    <col min="17" max="18" width="8.7109375" style="0" customWidth="1"/>
    <col min="19" max="19" width="13.421875" style="0" customWidth="1"/>
    <col min="20" max="20" width="10.28125" style="0" customWidth="1"/>
    <col min="21" max="21" width="8.7109375" style="0" customWidth="1"/>
    <col min="22" max="22" width="3.7109375" style="0" customWidth="1"/>
    <col min="23" max="23" width="21.28125" style="0" customWidth="1"/>
    <col min="28" max="28" width="10.7109375" style="0" customWidth="1"/>
  </cols>
  <sheetData>
    <row r="1" spans="1:30" ht="13.5" thickBot="1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O1" s="6"/>
      <c r="P1" s="6"/>
      <c r="Q1" s="6"/>
      <c r="R1" s="6"/>
      <c r="S1" s="6"/>
      <c r="T1" s="6"/>
      <c r="U1" s="6"/>
      <c r="V1" s="6"/>
      <c r="W1" s="8"/>
      <c r="X1" s="8"/>
      <c r="Y1" s="8"/>
      <c r="Z1" s="8"/>
      <c r="AA1" s="8"/>
      <c r="AB1" s="8"/>
      <c r="AC1" s="8"/>
      <c r="AD1" s="8"/>
    </row>
    <row r="2" spans="1:22" ht="18.75" thickBot="1">
      <c r="A2" s="200"/>
      <c r="B2" s="454" t="s">
        <v>24</v>
      </c>
      <c r="C2" s="376"/>
      <c r="D2" s="376"/>
      <c r="E2" s="376"/>
      <c r="F2" s="376"/>
      <c r="G2" s="376"/>
      <c r="H2" s="377"/>
      <c r="I2" s="201"/>
      <c r="J2" s="378" t="s">
        <v>61</v>
      </c>
      <c r="K2" s="379"/>
      <c r="L2" s="380"/>
      <c r="O2" s="356" t="s">
        <v>132</v>
      </c>
      <c r="V2" s="6"/>
    </row>
    <row r="3" spans="1:22" ht="13.5" thickBot="1">
      <c r="A3" s="200"/>
      <c r="B3" s="203" t="s">
        <v>93</v>
      </c>
      <c r="C3" s="364"/>
      <c r="D3" s="166"/>
      <c r="E3" s="362"/>
      <c r="F3" s="166"/>
      <c r="G3" s="166"/>
      <c r="H3" s="167"/>
      <c r="I3" s="204"/>
      <c r="J3" s="205"/>
      <c r="K3" s="205"/>
      <c r="L3" s="205"/>
      <c r="V3" s="6"/>
    </row>
    <row r="4" spans="1:30" ht="12.75">
      <c r="A4" s="200"/>
      <c r="B4" s="361" t="s">
        <v>3</v>
      </c>
      <c r="D4" s="1"/>
      <c r="E4" s="1"/>
      <c r="F4" s="1"/>
      <c r="G4" s="1"/>
      <c r="H4" s="160"/>
      <c r="I4" s="204"/>
      <c r="J4" s="196"/>
      <c r="K4" s="210"/>
      <c r="L4" s="359"/>
      <c r="V4" s="6"/>
      <c r="W4" s="3"/>
      <c r="X4" s="1"/>
      <c r="Y4" s="1"/>
      <c r="Z4" s="1"/>
      <c r="AA4" s="1"/>
      <c r="AB4" s="3"/>
      <c r="AC4" s="1"/>
      <c r="AD4" s="1"/>
    </row>
    <row r="5" spans="1:30" ht="12.75">
      <c r="A5" s="200"/>
      <c r="B5" s="211"/>
      <c r="D5" s="1"/>
      <c r="E5" s="1"/>
      <c r="F5" s="1"/>
      <c r="H5" s="160"/>
      <c r="I5" s="204"/>
      <c r="J5" s="200"/>
      <c r="K5" s="209"/>
      <c r="L5" s="358"/>
      <c r="V5" s="6"/>
      <c r="W5" s="2"/>
      <c r="X5" s="1"/>
      <c r="Y5" s="1"/>
      <c r="Z5" s="1"/>
      <c r="AA5" s="1"/>
      <c r="AB5" s="2"/>
      <c r="AC5" s="1"/>
      <c r="AD5" s="1"/>
    </row>
    <row r="6" spans="1:30" ht="13.5" thickBot="1">
      <c r="A6" s="200"/>
      <c r="B6" s="211"/>
      <c r="C6" s="149"/>
      <c r="D6" s="1"/>
      <c r="E6" s="1"/>
      <c r="F6" s="1"/>
      <c r="G6" s="1"/>
      <c r="H6" s="160"/>
      <c r="I6" s="204"/>
      <c r="J6" s="200"/>
      <c r="K6" s="209"/>
      <c r="L6" s="358"/>
      <c r="V6" s="6"/>
      <c r="W6" s="1"/>
      <c r="X6" s="1"/>
      <c r="Y6" s="5"/>
      <c r="Z6" s="1"/>
      <c r="AA6" s="1"/>
      <c r="AB6" s="1"/>
      <c r="AC6" s="1"/>
      <c r="AD6" s="5"/>
    </row>
    <row r="7" spans="1:30" ht="18.75" thickBot="1">
      <c r="A7" s="200"/>
      <c r="B7" s="212"/>
      <c r="C7" s="150"/>
      <c r="D7" s="123"/>
      <c r="E7" s="123"/>
      <c r="F7" s="123"/>
      <c r="G7" s="123"/>
      <c r="H7" s="161"/>
      <c r="I7" s="204"/>
      <c r="J7" s="213"/>
      <c r="K7" s="215"/>
      <c r="L7" s="360"/>
      <c r="O7" s="455" t="s">
        <v>69</v>
      </c>
      <c r="P7" s="456"/>
      <c r="Q7" s="456"/>
      <c r="R7" s="456"/>
      <c r="S7" s="456"/>
      <c r="T7" s="456"/>
      <c r="U7" s="457"/>
      <c r="V7" s="6"/>
      <c r="W7" s="375" t="s">
        <v>24</v>
      </c>
      <c r="X7" s="392"/>
      <c r="Y7" s="392"/>
      <c r="Z7" s="392"/>
      <c r="AA7" s="392"/>
      <c r="AB7" s="392"/>
      <c r="AC7" s="393"/>
      <c r="AD7" s="1"/>
    </row>
    <row r="8" spans="1:30" ht="13.5" thickBot="1">
      <c r="A8" s="200"/>
      <c r="B8" s="205"/>
      <c r="C8" s="205"/>
      <c r="D8" s="205"/>
      <c r="E8" s="205"/>
      <c r="F8" s="205"/>
      <c r="G8" s="205"/>
      <c r="H8" s="205"/>
      <c r="I8" s="216"/>
      <c r="J8" s="205"/>
      <c r="K8" s="205"/>
      <c r="L8" s="205"/>
      <c r="O8" s="280" t="s">
        <v>67</v>
      </c>
      <c r="P8" s="298" t="b">
        <f>IF(Calc!C10,TRUE(),FALSE())</f>
        <v>0</v>
      </c>
      <c r="Q8" s="299" t="b">
        <f>IF(Calc!D10,TRUE(),FALSE())</f>
        <v>0</v>
      </c>
      <c r="R8" s="298" t="b">
        <f>IF(Calc!E10,TRUE(),FALSE())</f>
        <v>0</v>
      </c>
      <c r="S8" s="299" t="b">
        <f>IF(Calc!F10,TRUE(),FALSE())</f>
        <v>0</v>
      </c>
      <c r="T8" s="298" t="b">
        <f>IF(Calc!G10,TRUE(),FALSE())</f>
        <v>0</v>
      </c>
      <c r="U8" s="294" t="b">
        <f>IF(Calc!H10,TRUE(),FALSE())</f>
        <v>0</v>
      </c>
      <c r="V8" s="6"/>
      <c r="W8" s="314" t="s">
        <v>67</v>
      </c>
      <c r="X8" s="328" t="b">
        <f>IF(Calc!C3,TRUE(),FALSE())</f>
        <v>0</v>
      </c>
      <c r="Y8" s="329" t="b">
        <f>IF(Calc!D3,TRUE(),FALSE())</f>
        <v>0</v>
      </c>
      <c r="Z8" s="328" t="b">
        <f>IF(Calc!E3,TRUE(),FALSE())</f>
        <v>0</v>
      </c>
      <c r="AA8" s="329" t="b">
        <f>IF(Calc!F3,TRUE(),FALSE())</f>
        <v>0</v>
      </c>
      <c r="AB8" s="328" t="b">
        <f>IF(Calc!G3,TRUE(),FALSE())</f>
        <v>0</v>
      </c>
      <c r="AC8" s="330" t="b">
        <f>IF(Calc!H3,TRUE(),FALSE())</f>
        <v>0</v>
      </c>
      <c r="AD8" s="1"/>
    </row>
    <row r="9" spans="1:30" ht="18.75" thickBot="1">
      <c r="A9" s="200"/>
      <c r="B9" s="381" t="s">
        <v>69</v>
      </c>
      <c r="C9" s="382"/>
      <c r="D9" s="382"/>
      <c r="E9" s="382"/>
      <c r="F9" s="382"/>
      <c r="G9" s="382"/>
      <c r="H9" s="383"/>
      <c r="I9" s="216"/>
      <c r="J9" s="205"/>
      <c r="K9" s="205"/>
      <c r="L9" s="205"/>
      <c r="O9" s="281" t="s">
        <v>66</v>
      </c>
      <c r="P9" s="300" t="b">
        <f>IF(Calc!C11="",FALSE(),TRUE())</f>
        <v>0</v>
      </c>
      <c r="Q9" s="300" t="b">
        <f>IF(Calc!D11="",FALSE(),TRUE())</f>
        <v>0</v>
      </c>
      <c r="R9" s="300" t="b">
        <f>IF(Calc!E11="",FALSE(),TRUE())</f>
        <v>0</v>
      </c>
      <c r="S9" s="300" t="b">
        <f>IF(Calc!F11="",FALSE(),TRUE())</f>
        <v>0</v>
      </c>
      <c r="T9" s="300" t="b">
        <f>IF(Calc!G11="",FALSE(),TRUE())</f>
        <v>0</v>
      </c>
      <c r="U9" s="301" t="b">
        <f>IF(Calc!H11="",FALSE(),TRUE())</f>
        <v>0</v>
      </c>
      <c r="V9" s="6"/>
      <c r="W9" s="316" t="s">
        <v>66</v>
      </c>
      <c r="X9" s="331" t="b">
        <f>IF(Calc!C4="",FALSE(),TRUE())</f>
        <v>0</v>
      </c>
      <c r="Y9" s="331" t="b">
        <f>IF(Calc!D4="",FALSE(),TRUE())</f>
        <v>0</v>
      </c>
      <c r="Z9" s="331" t="b">
        <f>IF(Calc!E4="",FALSE(),TRUE())</f>
        <v>0</v>
      </c>
      <c r="AA9" s="331" t="b">
        <f>IF(Calc!F4="",FALSE(),TRUE())</f>
        <v>0</v>
      </c>
      <c r="AB9" s="331" t="b">
        <f>IF(Calc!G4="",FALSE(),TRUE())</f>
        <v>0</v>
      </c>
      <c r="AC9" s="332" t="b">
        <f>IF(Calc!H4="",FALSE(),TRUE())</f>
        <v>0</v>
      </c>
      <c r="AD9" s="4"/>
    </row>
    <row r="10" spans="1:30" ht="13.5" thickBot="1">
      <c r="A10" s="200"/>
      <c r="B10" s="217" t="s">
        <v>5</v>
      </c>
      <c r="C10" s="165"/>
      <c r="D10" s="166"/>
      <c r="E10" s="166"/>
      <c r="F10" s="166"/>
      <c r="G10" s="166"/>
      <c r="H10" s="167"/>
      <c r="I10" s="216"/>
      <c r="J10" s="205"/>
      <c r="K10" s="205"/>
      <c r="L10" s="205"/>
      <c r="O10" s="282"/>
      <c r="P10" s="302" t="b">
        <f>IF(Calc!C12="",FALSE(),TRUE())</f>
        <v>0</v>
      </c>
      <c r="Q10" s="302" t="b">
        <f>IF(Calc!D12="",FALSE(),TRUE())</f>
        <v>0</v>
      </c>
      <c r="R10" s="302" t="b">
        <f>IF(Calc!E12="",FALSE(),TRUE())</f>
        <v>0</v>
      </c>
      <c r="S10" s="302" t="b">
        <f>IF(Calc!F12="",FALSE(),TRUE())</f>
        <v>0</v>
      </c>
      <c r="T10" s="302" t="b">
        <f>IF(Calc!G12="",FALSE(),TRUE())</f>
        <v>0</v>
      </c>
      <c r="U10" s="295" t="b">
        <f>IF(Calc!H12="",FALSE(),TRUE())</f>
        <v>0</v>
      </c>
      <c r="V10" s="6"/>
      <c r="W10" s="317"/>
      <c r="X10" s="333" t="b">
        <f>IF(Calc!C5="",FALSE(),TRUE())</f>
        <v>0</v>
      </c>
      <c r="Y10" s="333" t="b">
        <f>IF(Calc!D5="",FALSE(),TRUE())</f>
        <v>0</v>
      </c>
      <c r="Z10" s="333" t="b">
        <f>IF(Calc!E5="",FALSE(),TRUE())</f>
        <v>0</v>
      </c>
      <c r="AA10" s="333" t="b">
        <f>IF(Calc!F5="",FALSE(),TRUE())</f>
        <v>0</v>
      </c>
      <c r="AB10" s="333" t="b">
        <f>IF(Calc!G5="",FALSE(),TRUE())</f>
        <v>0</v>
      </c>
      <c r="AC10" s="334" t="b">
        <f>IF(Calc!H5="",FALSE(),TRUE())</f>
        <v>0</v>
      </c>
      <c r="AD10" s="4"/>
    </row>
    <row r="11" spans="1:30" ht="12.75">
      <c r="A11" s="200"/>
      <c r="B11" s="218" t="s">
        <v>4</v>
      </c>
      <c r="C11" s="363"/>
      <c r="D11" s="353"/>
      <c r="E11" s="353"/>
      <c r="G11" s="195"/>
      <c r="H11" s="159"/>
      <c r="I11" s="216"/>
      <c r="J11" s="205"/>
      <c r="K11" s="205"/>
      <c r="L11" s="205"/>
      <c r="O11" s="282"/>
      <c r="P11" s="302" t="b">
        <f>IF(Calc!C13="",FALSE(),TRUE())</f>
        <v>0</v>
      </c>
      <c r="Q11" s="302" t="b">
        <f>IF(Calc!D13="",FALSE(),TRUE())</f>
        <v>0</v>
      </c>
      <c r="R11" s="302" t="b">
        <f>IF(Calc!E13="",FALSE(),TRUE())</f>
        <v>0</v>
      </c>
      <c r="S11" s="302" t="b">
        <f>IF(Calc!F13="",FALSE(),TRUE())</f>
        <v>0</v>
      </c>
      <c r="T11" s="302" t="b">
        <f>IF(Calc!G13="",FALSE(),TRUE())</f>
        <v>0</v>
      </c>
      <c r="U11" s="295" t="b">
        <f>IF(Calc!H13="",FALSE(),TRUE())</f>
        <v>0</v>
      </c>
      <c r="V11" s="6"/>
      <c r="W11" s="317"/>
      <c r="X11" s="333" t="b">
        <f>IF(Calc!C6="",FALSE(),TRUE())</f>
        <v>0</v>
      </c>
      <c r="Y11" s="333" t="b">
        <f>IF(Calc!D6="",FALSE(),TRUE())</f>
        <v>0</v>
      </c>
      <c r="Z11" s="333" t="b">
        <f>IF(Calc!E6="",FALSE(),TRUE())</f>
        <v>0</v>
      </c>
      <c r="AA11" s="333" t="b">
        <f>IF(Calc!F6="",FALSE(),TRUE())</f>
        <v>0</v>
      </c>
      <c r="AB11" s="333" t="b">
        <f>IF(Calc!G6="",FALSE(),TRUE())</f>
        <v>0</v>
      </c>
      <c r="AC11" s="334" t="b">
        <f>IF(Calc!H6="",FALSE(),TRUE())</f>
        <v>0</v>
      </c>
      <c r="AD11" s="4"/>
    </row>
    <row r="12" spans="1:30" ht="12.75">
      <c r="A12" s="200"/>
      <c r="B12" s="221"/>
      <c r="C12" s="149"/>
      <c r="D12" s="1"/>
      <c r="G12" s="9"/>
      <c r="H12" s="160"/>
      <c r="I12" s="216"/>
      <c r="J12" s="205"/>
      <c r="K12" s="205"/>
      <c r="L12" s="205"/>
      <c r="O12" s="283"/>
      <c r="P12" s="303" t="b">
        <f>IF(Calc!C14="",FALSE(),TRUE())</f>
        <v>0</v>
      </c>
      <c r="Q12" s="303" t="b">
        <f>IF(Calc!D14="",FALSE(),TRUE())</f>
        <v>0</v>
      </c>
      <c r="R12" s="303" t="b">
        <f>IF(Calc!E14="",FALSE(),TRUE())</f>
        <v>0</v>
      </c>
      <c r="S12" s="303" t="b">
        <f>IF(Calc!F14="",FALSE(),TRUE())</f>
        <v>0</v>
      </c>
      <c r="T12" s="303" t="b">
        <f>IF(Calc!G14="",FALSE(),TRUE())</f>
        <v>0</v>
      </c>
      <c r="U12" s="304" t="b">
        <f>IF(Calc!H14="",FALSE(),TRUE())</f>
        <v>0</v>
      </c>
      <c r="V12" s="6"/>
      <c r="W12" s="318"/>
      <c r="X12" s="335" t="b">
        <f>IF(Calc!C7="",FALSE(),TRUE())</f>
        <v>0</v>
      </c>
      <c r="Y12" s="335" t="b">
        <f>IF(Calc!D7="",FALSE(),TRUE())</f>
        <v>0</v>
      </c>
      <c r="Z12" s="335" t="b">
        <f>IF(Calc!E7="",FALSE(),TRUE())</f>
        <v>0</v>
      </c>
      <c r="AA12" s="335" t="b">
        <f>IF(Calc!F7="",FALSE(),TRUE())</f>
        <v>0</v>
      </c>
      <c r="AB12" s="335" t="b">
        <f>IF(Calc!G7="",FALSE(),TRUE())</f>
        <v>0</v>
      </c>
      <c r="AC12" s="336" t="b">
        <f>IF(Calc!H7="",FALSE(),TRUE())</f>
        <v>0</v>
      </c>
      <c r="AD12" s="1"/>
    </row>
    <row r="13" spans="1:30" ht="12.75">
      <c r="A13" s="200"/>
      <c r="B13" s="221"/>
      <c r="C13" s="149"/>
      <c r="D13" s="1"/>
      <c r="E13" s="1"/>
      <c r="F13" s="9"/>
      <c r="G13" s="9"/>
      <c r="H13" s="160"/>
      <c r="I13" s="216"/>
      <c r="J13" s="205"/>
      <c r="K13" s="205"/>
      <c r="L13" s="205"/>
      <c r="O13" s="284" t="s">
        <v>66</v>
      </c>
      <c r="P13" s="305" t="b">
        <f aca="true" t="shared" si="0" ref="P13:U13">OR(P9:P10)</f>
        <v>0</v>
      </c>
      <c r="Q13" s="306" t="b">
        <f t="shared" si="0"/>
        <v>0</v>
      </c>
      <c r="R13" s="305" t="b">
        <f t="shared" si="0"/>
        <v>0</v>
      </c>
      <c r="S13" s="306" t="b">
        <f t="shared" si="0"/>
        <v>0</v>
      </c>
      <c r="T13" s="305" t="b">
        <f t="shared" si="0"/>
        <v>0</v>
      </c>
      <c r="U13" s="307" t="b">
        <f t="shared" si="0"/>
        <v>0</v>
      </c>
      <c r="V13" s="6"/>
      <c r="W13" s="319" t="s">
        <v>79</v>
      </c>
      <c r="X13" s="337" t="b">
        <f aca="true" t="shared" si="1" ref="X13:AC13">OR(X9:X10)</f>
        <v>0</v>
      </c>
      <c r="Y13" s="338" t="b">
        <f t="shared" si="1"/>
        <v>0</v>
      </c>
      <c r="Z13" s="337" t="b">
        <f t="shared" si="1"/>
        <v>0</v>
      </c>
      <c r="AA13" s="338" t="b">
        <f t="shared" si="1"/>
        <v>0</v>
      </c>
      <c r="AB13" s="337" t="b">
        <f t="shared" si="1"/>
        <v>0</v>
      </c>
      <c r="AC13" s="339" t="b">
        <f t="shared" si="1"/>
        <v>0</v>
      </c>
      <c r="AD13" s="4"/>
    </row>
    <row r="14" spans="1:30" ht="13.5" thickBot="1">
      <c r="A14" s="200"/>
      <c r="B14" s="222"/>
      <c r="C14" s="150"/>
      <c r="D14" s="123"/>
      <c r="E14" s="123"/>
      <c r="F14" s="255"/>
      <c r="G14" s="255"/>
      <c r="H14" s="161"/>
      <c r="I14" s="216"/>
      <c r="J14" s="205"/>
      <c r="K14" s="205"/>
      <c r="L14" s="205"/>
      <c r="O14" s="285" t="s">
        <v>81</v>
      </c>
      <c r="P14" s="308" t="b">
        <f aca="true" t="shared" si="2" ref="P14:U14">AND(P8,P13)</f>
        <v>0</v>
      </c>
      <c r="Q14" s="309" t="b">
        <f t="shared" si="2"/>
        <v>0</v>
      </c>
      <c r="R14" s="308" t="b">
        <f t="shared" si="2"/>
        <v>0</v>
      </c>
      <c r="S14" s="309" t="b">
        <f t="shared" si="2"/>
        <v>0</v>
      </c>
      <c r="T14" s="308" t="b">
        <f t="shared" si="2"/>
        <v>0</v>
      </c>
      <c r="U14" s="301" t="b">
        <f t="shared" si="2"/>
        <v>0</v>
      </c>
      <c r="V14" s="6"/>
      <c r="W14" s="320" t="s">
        <v>82</v>
      </c>
      <c r="X14" s="340" t="b">
        <f aca="true" t="shared" si="3" ref="X14:AC14">AND(X8,X13)</f>
        <v>0</v>
      </c>
      <c r="Y14" s="341" t="b">
        <f t="shared" si="3"/>
        <v>0</v>
      </c>
      <c r="Z14" s="340" t="b">
        <f t="shared" si="3"/>
        <v>0</v>
      </c>
      <c r="AA14" s="341" t="b">
        <f t="shared" si="3"/>
        <v>0</v>
      </c>
      <c r="AB14" s="340" t="b">
        <f t="shared" si="3"/>
        <v>0</v>
      </c>
      <c r="AC14" s="342" t="b">
        <f t="shared" si="3"/>
        <v>0</v>
      </c>
      <c r="AD14" s="4"/>
    </row>
    <row r="15" spans="15:30" ht="12.75">
      <c r="O15" s="286" t="s">
        <v>97</v>
      </c>
      <c r="P15" s="310">
        <f>IF(P14,Calc!C11*Calc!C11+Calc!C12*Calc!C12+Calc!C13*Calc!C13+Calc!C14*Calc!C14,"")</f>
      </c>
      <c r="Q15" s="310">
        <f>IF(Q14,Calc!D11*Calc!D11+Calc!D12*Calc!D12+Calc!D13*Calc!D13+Calc!D14*Calc!D14,"")</f>
      </c>
      <c r="R15" s="310">
        <f>IF(R14,Calc!E11*Calc!E11+Calc!E12*Calc!E12+Calc!E13*Calc!E13+Calc!E14*Calc!E14,"")</f>
      </c>
      <c r="S15" s="310">
        <f>IF(S14,Calc!F11*Calc!F11+Calc!F12*Calc!F12+Calc!F13*Calc!F13+Calc!F14*Calc!F14,"")</f>
      </c>
      <c r="T15" s="310">
        <f>IF(T14,Calc!G11*Calc!G11+Calc!G12*Calc!G12+Calc!G13*Calc!G13+Calc!G14*Calc!G14,"")</f>
      </c>
      <c r="U15" s="311">
        <f>IF(U14,Calc!H11*Calc!H11+Calc!H12*Calc!H12+Calc!H13*Calc!H13+Calc!H14*Calc!H14,"")</f>
      </c>
      <c r="V15" s="6"/>
      <c r="W15" s="321" t="s">
        <v>97</v>
      </c>
      <c r="X15" s="343">
        <f>IF(X14,Calc!C4^2+Calc!C5^2+Calc!C6^2+Calc!C7^2,"")</f>
      </c>
      <c r="Y15" s="343">
        <f>IF(Y14,Calc!D4^2+Calc!D5^2+Calc!D6^2+Calc!D7^2,"")</f>
      </c>
      <c r="Z15" s="343">
        <f>IF(Z14,Calc!E4^2+Calc!E5^2+Calc!E6^2+Calc!E7^2,"")</f>
      </c>
      <c r="AA15" s="343">
        <f>IF(AA14,Calc!F4^2+Calc!F5^2+Calc!F6^2+Calc!F7^2,"")</f>
      </c>
      <c r="AB15" s="343">
        <f>IF(AB14,Calc!G4^2+Calc!G5^2+Calc!G6^2+Calc!G7^2,"")</f>
      </c>
      <c r="AC15" s="344">
        <f>IF(AC14,Calc!H4^2+Calc!H5^2+Calc!H6^2+Calc!H7^2,"")</f>
      </c>
      <c r="AD15" s="4"/>
    </row>
    <row r="16" spans="15:30" ht="13.5" thickBot="1">
      <c r="O16" s="287" t="s">
        <v>98</v>
      </c>
      <c r="P16" s="312">
        <f>IF(P14,SUM(Calc!C11:C14)*SUM(Calc!C11:C14)/COUNT(Calc!C11:C14),"")</f>
      </c>
      <c r="Q16" s="312">
        <f>IF(Q14,SUM(Calc!D11:D14)*SUM(Calc!D11:D14)/COUNT(Calc!D11:D14),"")</f>
      </c>
      <c r="R16" s="312">
        <f>IF(R14,SUM(Calc!E11:E14)*SUM(Calc!E11:E14)/COUNT(Calc!E11:E14),"")</f>
      </c>
      <c r="S16" s="312">
        <f>IF(S14,SUM(Calc!F11:F14)*SUM(Calc!F11:F14)/COUNT(Calc!F11:F14),"")</f>
      </c>
      <c r="T16" s="312">
        <f>IF(T14,SUM(Calc!G11:G14)*SUM(Calc!G11:G14)/COUNT(Calc!G11:G14),"")</f>
      </c>
      <c r="U16" s="313">
        <f>IF(U14,SUM(Calc!H11:H14)*SUM(Calc!H11:H14)/COUNT(Calc!H11:H14),"")</f>
      </c>
      <c r="V16" s="6"/>
      <c r="W16" s="320" t="s">
        <v>98</v>
      </c>
      <c r="X16" s="345">
        <f>IF(X14,SUM(Calc!C4:C7)^2/COUNT(Calc!C4:C7),"")</f>
      </c>
      <c r="Y16" s="345">
        <f>IF(Y14,SUM(Calc!D4:D7)^2/COUNT(Calc!D4:D7),"")</f>
      </c>
      <c r="Z16" s="345">
        <f>IF(Z14,SUM(Calc!E4:E7)^2/COUNT(Calc!E4:E7),"")</f>
      </c>
      <c r="AA16" s="345">
        <f>IF(AA14,SUM(Calc!F4:F7)^2/COUNT(Calc!F4:F7),"")</f>
      </c>
      <c r="AB16" s="345">
        <f>IF(AB14,SUM(Calc!G4:G7)^2/COUNT(Calc!G4:G7),"")</f>
      </c>
      <c r="AC16" s="346">
        <f>IF(AC14,SUM(Calc!H4:H7)^2/COUNT(Calc!H4:H7),"")</f>
      </c>
      <c r="AD16" s="4"/>
    </row>
    <row r="17" spans="15:29" ht="13.5" thickBot="1">
      <c r="O17" s="288"/>
      <c r="P17" s="60"/>
      <c r="Q17" s="60"/>
      <c r="R17" s="60"/>
      <c r="S17" s="7"/>
      <c r="T17" s="7"/>
      <c r="U17" s="7"/>
      <c r="V17" s="6"/>
      <c r="W17" s="322"/>
      <c r="X17" s="323"/>
      <c r="Y17" s="323"/>
      <c r="Z17" s="323"/>
      <c r="AA17" s="323"/>
      <c r="AB17" s="323"/>
      <c r="AC17" s="114"/>
    </row>
    <row r="18" spans="15:29" ht="12.75">
      <c r="O18" s="289" t="s">
        <v>65</v>
      </c>
      <c r="P18" s="293" t="s">
        <v>92</v>
      </c>
      <c r="Q18" s="294">
        <f>IF(P14,COUNT(Calc!C10),)+IF(Q14,COUNT(Calc!D10),)+IF(R14,COUNT(Calc!E10),)+IF(S14,COUNT(Calc!F10),)+IF(T14,COUNT(Calc!G10),)+IF(U14,COUNT(Calc!H10),)</f>
        <v>0</v>
      </c>
      <c r="R18" s="7"/>
      <c r="V18" s="6"/>
      <c r="W18" s="418" t="s">
        <v>111</v>
      </c>
      <c r="X18" s="419"/>
      <c r="Y18" s="419"/>
      <c r="Z18" s="419"/>
      <c r="AA18" s="420"/>
      <c r="AB18" s="315" t="s">
        <v>91</v>
      </c>
      <c r="AC18" s="347">
        <f>IF(X14,COUNT(Calc!C3),)+IF(Y14,COUNT(Calc!D3),)+IF(Z14,COUNT(Calc!E3),)+IF(AA14,COUNT(Calc!F3),)+IF(AB14,COUNT(Calc!G3),)+IF(AC14,COUNT(Calc!H3),)</f>
        <v>0</v>
      </c>
    </row>
    <row r="19" spans="15:29" ht="12.75">
      <c r="O19" s="290" t="s">
        <v>9</v>
      </c>
      <c r="P19" s="292" t="s">
        <v>29</v>
      </c>
      <c r="Q19" s="295">
        <f>IF(P14,COUNT(Calc!C11:C14),)+IF(Q14,COUNT(Calc!D11:D14),)+IF(R14,COUNT(Calc!E11:E14),)+IF(S14,COUNT(Calc!F11:F14),)+IF(T14,COUNT(Calc!G11:G14),)+IF(U14,COUNT(Calc!H11:H14),)</f>
        <v>0</v>
      </c>
      <c r="R19" s="7"/>
      <c r="S19" s="113"/>
      <c r="T19" s="7"/>
      <c r="U19" s="60"/>
      <c r="V19" s="6"/>
      <c r="W19" s="421" t="s">
        <v>8</v>
      </c>
      <c r="X19" s="422"/>
      <c r="Y19" s="422"/>
      <c r="Z19" s="422"/>
      <c r="AA19" s="423"/>
      <c r="AB19" s="324" t="s">
        <v>31</v>
      </c>
      <c r="AC19" s="348">
        <f>IF(X14,COUNT(Calc!C4:C7),)+IF(Y14,COUNT(Calc!D4:D7),)+IF(Z14,COUNT(Calc!E4:E7),)+IF(AA14,COUNT(Calc!F4:F7),)+IF(AB14,COUNT(Calc!G4:G7),)+IF(AC14,COUNT(Calc!H4:H7),)</f>
        <v>0</v>
      </c>
    </row>
    <row r="20" spans="15:29" ht="12.75">
      <c r="O20" s="291" t="s">
        <v>10</v>
      </c>
      <c r="P20" s="292" t="s">
        <v>28</v>
      </c>
      <c r="Q20" s="296">
        <f>NS+NTa+NB</f>
        <v>0</v>
      </c>
      <c r="R20" s="7"/>
      <c r="S20" s="7"/>
      <c r="T20" s="7"/>
      <c r="U20" s="7"/>
      <c r="V20" s="6"/>
      <c r="W20" s="421" t="s">
        <v>6</v>
      </c>
      <c r="X20" s="422"/>
      <c r="Y20" s="422"/>
      <c r="Z20" s="422"/>
      <c r="AA20" s="423"/>
      <c r="AB20" s="324" t="s">
        <v>35</v>
      </c>
      <c r="AC20" s="349">
        <f>COUNT(Calc!C4:C7)*Calc!C3+COUNT(Calc!D4:D7)*Calc!D3+COUNT(Calc!E4:E7)*Calc!E3+COUNT(Calc!F4:F7)*Calc!F3+COUNT(Calc!G4:G7)*Calc!G3+COUNT(Calc!H4:H7)*Calc!H3</f>
        <v>0</v>
      </c>
    </row>
    <row r="21" spans="15:29" ht="12.75">
      <c r="O21" s="291" t="s">
        <v>0</v>
      </c>
      <c r="P21" s="292" t="s">
        <v>33</v>
      </c>
      <c r="Q21" s="296">
        <f>COUNT(Calc!C11:C14)*Calc!C10+COUNT(Calc!D11:D14)*Calc!D10+COUNT(Calc!E11:E14)*Calc!E10+COUNT(Calc!F11:F14)*Calc!F10+COUNT(Calc!G11:G14)*Calc!G10+COUNT(Calc!H11:H14)*Calc!H10</f>
        <v>0</v>
      </c>
      <c r="R21" s="7"/>
      <c r="S21" s="7"/>
      <c r="T21" s="7"/>
      <c r="U21" s="7"/>
      <c r="V21" s="6"/>
      <c r="W21" s="394" t="s">
        <v>1</v>
      </c>
      <c r="X21" s="395"/>
      <c r="Y21" s="395"/>
      <c r="Z21" s="395"/>
      <c r="AA21" s="396"/>
      <c r="AB21" s="325" t="s">
        <v>36</v>
      </c>
      <c r="AC21" s="350">
        <f>IF(X14,SUM(Calc!C4:C7),)+IF(Y14,SUM(Calc!D4:D7),)+IF(Z14,SUM(Calc!E4:E7),)+IF(AA14,SUM(Calc!F4:F7),)+IF(AB14,SUM(Calc!G4:G7),)+IF(AC14,SUM(Calc!H4:H7),)</f>
        <v>0</v>
      </c>
    </row>
    <row r="22" spans="15:29" ht="12.75">
      <c r="O22" s="291" t="s">
        <v>2</v>
      </c>
      <c r="P22" s="292" t="s">
        <v>34</v>
      </c>
      <c r="Q22" s="297">
        <f>IF(P14,SUM(Calc!C11:C14),)+IF(Q14,SUM(Calc!D11:D14),)+IF(R14,SUM(Calc!E11:E14),)+IF(S14,SUM(Calc!F11:F14),)+IF(T14,SUM(Calc!G11:G14),)+IF(U14,SUM(Calc!H11:H14),)</f>
        <v>0</v>
      </c>
      <c r="R22" s="7"/>
      <c r="S22" s="7"/>
      <c r="T22" s="7"/>
      <c r="U22" s="7"/>
      <c r="V22" s="6"/>
      <c r="W22" s="412" t="s">
        <v>77</v>
      </c>
      <c r="X22" s="413"/>
      <c r="Y22" s="413"/>
      <c r="Z22" s="413"/>
      <c r="AA22" s="414"/>
      <c r="AB22" s="326"/>
      <c r="AC22" s="351" t="e">
        <f>SumXS/NS</f>
        <v>#DIV/0!</v>
      </c>
    </row>
    <row r="23" spans="15:29" ht="13.5" thickBot="1">
      <c r="O23" s="290" t="s">
        <v>7</v>
      </c>
      <c r="P23" s="292" t="s">
        <v>39</v>
      </c>
      <c r="Q23" s="297">
        <f>SumYTa+SumYS+SumYB</f>
        <v>0</v>
      </c>
      <c r="R23" s="7"/>
      <c r="S23" s="7"/>
      <c r="T23" s="7"/>
      <c r="U23" s="60"/>
      <c r="V23" s="6"/>
      <c r="W23" s="415" t="s">
        <v>75</v>
      </c>
      <c r="X23" s="416"/>
      <c r="Y23" s="416"/>
      <c r="Z23" s="416"/>
      <c r="AA23" s="417"/>
      <c r="AB23" s="327"/>
      <c r="AC23" s="352" t="e">
        <f>SumYS/NS</f>
        <v>#DIV/0!</v>
      </c>
    </row>
    <row r="24" spans="15:22" ht="12.75">
      <c r="O24" s="10" t="s">
        <v>12</v>
      </c>
      <c r="P24" s="11" t="s">
        <v>40</v>
      </c>
      <c r="Q24" s="12" t="e">
        <f>COUNT(Calc!C11:C14)*Calc!C10*Calc!C10+COUNT(Calc!D11:D14)*Calc!D10*Calc!D10+COUNT(Calc!E11:E14)*Calc!E10*Calc!E10+COUNT(Calc!F11:F14)*Calc!F10*Calc!F10+COUNT(Calc!G11:G14)*Calc!G10*Calc!G10+COUNT(Calc!H11:H14)*Calc!H10*Calc!H10-Q21*Q21/Q20</f>
        <v>#DIV/0!</v>
      </c>
      <c r="R24" s="7"/>
      <c r="S24" s="7"/>
      <c r="T24" s="7"/>
      <c r="U24" s="7"/>
      <c r="V24" s="6"/>
    </row>
    <row r="25" spans="15:22" ht="12.75">
      <c r="O25" s="13" t="s">
        <v>13</v>
      </c>
      <c r="P25" s="14" t="s">
        <v>41</v>
      </c>
      <c r="Q25" s="15" t="e">
        <f>-SumXS*SumXTa/Ntota</f>
        <v>#DIV/0!</v>
      </c>
      <c r="R25" s="7"/>
      <c r="S25" s="7"/>
      <c r="T25" s="7"/>
      <c r="U25" s="7"/>
      <c r="V25" s="6"/>
    </row>
    <row r="26" spans="15:22" ht="13.5" thickBot="1">
      <c r="O26" s="13" t="s">
        <v>20</v>
      </c>
      <c r="P26" s="14" t="s">
        <v>42</v>
      </c>
      <c r="Q26" s="15" t="e">
        <f>-SumXTa*SumXB/Ntota</f>
        <v>#DIV/0!</v>
      </c>
      <c r="R26" s="7"/>
      <c r="S26" s="7"/>
      <c r="T26" s="7"/>
      <c r="U26" s="7"/>
      <c r="V26" s="6"/>
    </row>
    <row r="27" spans="15:25" ht="18.75" thickBot="1">
      <c r="O27" s="17" t="s">
        <v>16</v>
      </c>
      <c r="P27" s="18" t="s">
        <v>46</v>
      </c>
      <c r="Q27" s="15" t="e">
        <f>COUNT(Calc!$L$4:$L$7)*$Y$28*$Y$28-SumXB*SumXB/Q20</f>
        <v>#DIV/0!</v>
      </c>
      <c r="R27" s="7"/>
      <c r="S27" s="7"/>
      <c r="T27" s="7"/>
      <c r="U27" s="7"/>
      <c r="V27" s="6"/>
      <c r="W27" s="407" t="s">
        <v>110</v>
      </c>
      <c r="X27" s="379"/>
      <c r="Y27" s="380"/>
    </row>
    <row r="28" spans="15:25" ht="12.75">
      <c r="O28" s="13" t="s">
        <v>15</v>
      </c>
      <c r="P28" s="19" t="s">
        <v>47</v>
      </c>
      <c r="Q28" s="15" t="e">
        <f>-SumXS*SumXB/Ntota</f>
        <v>#DIV/0!</v>
      </c>
      <c r="R28" s="7"/>
      <c r="S28" s="7"/>
      <c r="T28" s="7"/>
      <c r="U28" s="7"/>
      <c r="V28" s="6"/>
      <c r="W28" s="410" t="s">
        <v>94</v>
      </c>
      <c r="X28" s="411"/>
      <c r="Y28" s="279">
        <v>1</v>
      </c>
    </row>
    <row r="29" spans="15:25" ht="12.75">
      <c r="O29" s="20" t="s">
        <v>11</v>
      </c>
      <c r="P29" s="21" t="s">
        <v>48</v>
      </c>
      <c r="Q29" s="22" t="e">
        <f>(COUNT(Calc!$C$4:$C$7)*Calc!$C$3*Calc!$C$3+COUNT(Calc!$D$4:$D$7)*Calc!$D$3*Calc!$D$3+COUNT(Calc!$E$4:$E$7)*Calc!$E$3*Calc!$E$3+COUNT(Calc!$F$4:$F$7)*Calc!$F$3*Calc!$F$3+COUNT(Calc!$G$4:$G$7)*Calc!$G$3*Calc!$G$3+COUNT(Calc!$H$4:$H$7)*Calc!$H$3*Calc!$H$3)-SumXS*SumXS/Q20</f>
        <v>#DIV/0!</v>
      </c>
      <c r="R29" s="7"/>
      <c r="S29" s="7"/>
      <c r="T29" s="7"/>
      <c r="U29" s="7"/>
      <c r="V29" s="6"/>
      <c r="W29" s="408" t="s">
        <v>67</v>
      </c>
      <c r="X29" s="409"/>
      <c r="Y29" s="267" t="b">
        <f>IF(Y28,TRUE(),FALSE())</f>
        <v>1</v>
      </c>
    </row>
    <row r="30" spans="15:25" ht="12.75">
      <c r="O30" s="23" t="s">
        <v>21</v>
      </c>
      <c r="P30" s="11" t="s">
        <v>43</v>
      </c>
      <c r="Q30" s="12" t="e">
        <f>SUM(Calc!C11:C14)*Calc!C10+SUM(Calc!D11:D14)*Calc!D10+SUM(Calc!E11:E14)*Calc!E10+SUM(Calc!F11:F14)*Calc!F10+SUM(Calc!G11:G14)*Calc!G10+SUM(Calc!H11:H14)*Calc!H10-SumXTa*SumYtota/Ntota</f>
        <v>#DIV/0!</v>
      </c>
      <c r="R30" s="7"/>
      <c r="S30" s="7"/>
      <c r="T30" s="7"/>
      <c r="U30" s="7"/>
      <c r="V30" s="6"/>
      <c r="W30" s="401" t="s">
        <v>66</v>
      </c>
      <c r="X30" s="402"/>
      <c r="Y30" s="268" t="b">
        <f>IF(Calc!L4="",FALSE(),TRUE())</f>
        <v>0</v>
      </c>
    </row>
    <row r="31" spans="15:25" ht="12.75">
      <c r="O31" s="17" t="s">
        <v>22</v>
      </c>
      <c r="P31" s="14" t="s">
        <v>44</v>
      </c>
      <c r="Q31" s="15" t="e">
        <f>SUM(Calc!$C$4:$C$7)*Calc!$C$3+SUM(Calc!$D$4:$D$7)*Calc!$D$3+SUM(Calc!$E$4:$E$7)*Calc!$E$3+SUM(Calc!$F$4:$F$7)*Calc!$F$3+SUM(Calc!$G$4:$G$7)*Calc!$G$3+SUM(Calc!$H$4:$H$7)*Calc!$H$3-SumXS*SumYtota/Ntota</f>
        <v>#DIV/0!</v>
      </c>
      <c r="R31" s="7"/>
      <c r="S31" s="7"/>
      <c r="T31" s="7"/>
      <c r="U31" s="7"/>
      <c r="V31" s="6"/>
      <c r="W31" s="403"/>
      <c r="X31" s="404"/>
      <c r="Y31" s="267" t="b">
        <f>IF(Calc!L5="",FALSE(),TRUE())</f>
        <v>0</v>
      </c>
    </row>
    <row r="32" spans="15:25" ht="12.75">
      <c r="O32" s="24" t="s">
        <v>23</v>
      </c>
      <c r="P32" s="25" t="s">
        <v>45</v>
      </c>
      <c r="Q32" s="26" t="e">
        <f>SUM(Calc!$L$4:$L$7)*Y28-SumXB*SumYtota/Ntota</f>
        <v>#DIV/0!</v>
      </c>
      <c r="R32" s="7"/>
      <c r="S32" s="27"/>
      <c r="T32" s="7"/>
      <c r="U32" s="7"/>
      <c r="V32" s="6"/>
      <c r="W32" s="403"/>
      <c r="X32" s="404"/>
      <c r="Y32" s="267" t="b">
        <f>IF(Calc!L6="",FALSE(),TRUE())</f>
        <v>0</v>
      </c>
    </row>
    <row r="33" spans="15:25" ht="12.75">
      <c r="O33" s="23" t="s">
        <v>84</v>
      </c>
      <c r="P33" s="11" t="s">
        <v>49</v>
      </c>
      <c r="Q33" s="12" t="e">
        <f>P51*Q31+P52*Q30+P53*Q32</f>
        <v>#DIV/0!</v>
      </c>
      <c r="R33" s="7"/>
      <c r="S33" s="7"/>
      <c r="T33" s="7"/>
      <c r="U33" s="7"/>
      <c r="V33" s="6"/>
      <c r="W33" s="403"/>
      <c r="X33" s="404"/>
      <c r="Y33" s="267" t="b">
        <f>IF(Calc!L7="",FALSE(),TRUE())</f>
        <v>0</v>
      </c>
    </row>
    <row r="34" spans="15:25" ht="12.75">
      <c r="O34" s="17" t="s">
        <v>85</v>
      </c>
      <c r="P34" s="14" t="s">
        <v>30</v>
      </c>
      <c r="Q34" s="15" t="e">
        <f>Q51*Q31+Q52*Q30+Q53*Q32</f>
        <v>#DIV/0!</v>
      </c>
      <c r="R34" s="7"/>
      <c r="S34" s="7"/>
      <c r="T34" s="7"/>
      <c r="U34" s="7"/>
      <c r="V34" s="6"/>
      <c r="W34" s="403"/>
      <c r="X34" s="404"/>
      <c r="Y34" s="267" t="b">
        <f>IF(Calc!L8="",FALSE(),TRUE())</f>
        <v>0</v>
      </c>
    </row>
    <row r="35" spans="15:25" ht="12.75">
      <c r="O35" s="17" t="s">
        <v>86</v>
      </c>
      <c r="P35" s="14" t="s">
        <v>50</v>
      </c>
      <c r="Q35" s="15" t="e">
        <f>R51*Q31+R52*Q30+R53*Q32</f>
        <v>#DIV/0!</v>
      </c>
      <c r="R35" s="7"/>
      <c r="S35" s="7"/>
      <c r="T35" s="7"/>
      <c r="U35" s="28"/>
      <c r="V35" s="6"/>
      <c r="W35" s="403"/>
      <c r="X35" s="404"/>
      <c r="Y35" s="267" t="b">
        <f>IF(Calc!L9="",FALSE(),TRUE())</f>
        <v>0</v>
      </c>
    </row>
    <row r="36" spans="15:25" ht="12.75">
      <c r="O36" s="29" t="s">
        <v>83</v>
      </c>
      <c r="P36" s="30"/>
      <c r="Q36" s="31" t="e">
        <f>($AC$23-Q33*$AC$22+Q40-Q34*Q39+$Y$52-Q35*$Y$51)/3</f>
        <v>#DIV/0!</v>
      </c>
      <c r="R36" s="7"/>
      <c r="S36" s="7"/>
      <c r="T36" s="7"/>
      <c r="U36" s="28"/>
      <c r="V36" s="6"/>
      <c r="W36" s="403"/>
      <c r="X36" s="404"/>
      <c r="Y36" s="267" t="b">
        <f>IF(Calc!L10="",FALSE(),TRUE())</f>
        <v>0</v>
      </c>
    </row>
    <row r="37" spans="15:25" ht="12.75">
      <c r="O37" s="17" t="s">
        <v>100</v>
      </c>
      <c r="P37" s="32" t="s">
        <v>101</v>
      </c>
      <c r="Q37" s="33" t="e">
        <f>S51*SumXSY+S52*SumXTaY</f>
        <v>#DIV/0!</v>
      </c>
      <c r="R37" s="7"/>
      <c r="S37" s="7"/>
      <c r="T37" s="7"/>
      <c r="U37" s="28"/>
      <c r="V37" s="6"/>
      <c r="W37" s="403"/>
      <c r="X37" s="404"/>
      <c r="Y37" s="267" t="b">
        <f>IF(Calc!L11="",FALSE(),TRUE())</f>
        <v>0</v>
      </c>
    </row>
    <row r="38" spans="15:25" ht="12.75">
      <c r="O38" s="17" t="s">
        <v>99</v>
      </c>
      <c r="P38" s="34" t="s">
        <v>102</v>
      </c>
      <c r="Q38" s="33" t="e">
        <f>T51*SumXSY+T52*SumXTaY</f>
        <v>#DIV/0!</v>
      </c>
      <c r="R38" s="7"/>
      <c r="S38" s="7"/>
      <c r="T38" s="7"/>
      <c r="U38" s="7"/>
      <c r="V38" s="6"/>
      <c r="W38" s="403"/>
      <c r="X38" s="404"/>
      <c r="Y38" s="267" t="b">
        <f>IF(Calc!L12="",FALSE(),TRUE())</f>
        <v>0</v>
      </c>
    </row>
    <row r="39" spans="15:25" ht="12.75">
      <c r="O39" s="23" t="s">
        <v>87</v>
      </c>
      <c r="P39" s="35"/>
      <c r="Q39" s="36" t="e">
        <f>SumXTa/NTa</f>
        <v>#DIV/0!</v>
      </c>
      <c r="R39" s="7"/>
      <c r="S39" s="8"/>
      <c r="T39" s="8"/>
      <c r="U39" s="7"/>
      <c r="V39" s="6"/>
      <c r="W39" s="403"/>
      <c r="X39" s="404"/>
      <c r="Y39" s="267" t="b">
        <f>IF(Calc!L13="",FALSE(),TRUE())</f>
        <v>0</v>
      </c>
    </row>
    <row r="40" spans="15:25" ht="12.75">
      <c r="O40" s="17" t="s">
        <v>88</v>
      </c>
      <c r="P40" s="37"/>
      <c r="Q40" s="38" t="e">
        <f>SumYTa/NTa</f>
        <v>#DIV/0!</v>
      </c>
      <c r="R40" s="7"/>
      <c r="S40" s="7"/>
      <c r="T40" s="7"/>
      <c r="U40" s="7"/>
      <c r="V40" s="6"/>
      <c r="W40" s="403"/>
      <c r="X40" s="404"/>
      <c r="Y40" s="267" t="b">
        <f>IF(Calc!L14="",FALSE(),TRUE())</f>
        <v>0</v>
      </c>
    </row>
    <row r="41" spans="15:25" ht="12.75">
      <c r="O41" s="39" t="s">
        <v>96</v>
      </c>
      <c r="P41" s="35" t="s">
        <v>95</v>
      </c>
      <c r="Q41" s="40" t="e">
        <f>SlopeTa/SlopeS</f>
        <v>#DIV/0!</v>
      </c>
      <c r="R41" s="7"/>
      <c r="S41" s="41"/>
      <c r="T41" s="7"/>
      <c r="U41" s="7"/>
      <c r="V41" s="6"/>
      <c r="W41" s="405"/>
      <c r="X41" s="406"/>
      <c r="Y41" s="269" t="b">
        <f>IF(Calc!L15="",FALSE(),TRUE())</f>
        <v>0</v>
      </c>
    </row>
    <row r="42" spans="15:25" ht="12.75">
      <c r="O42" s="42"/>
      <c r="P42" s="32" t="s">
        <v>106</v>
      </c>
      <c r="Q42" s="43" t="e">
        <f>(Q41-Q45*Q51/P51+Q44*SQRT(S63)/ABS(SlopeS)*(Q52-2*Q41*Q51+Q41*Q41*P51-Q45*(Q52-Q51*Q51/P51))^0.5)/(1-Q45)</f>
        <v>#DIV/0!</v>
      </c>
      <c r="R42" s="7"/>
      <c r="S42" s="41"/>
      <c r="T42" s="7"/>
      <c r="U42" s="7"/>
      <c r="V42" s="6"/>
      <c r="W42" s="408" t="s">
        <v>80</v>
      </c>
      <c r="X42" s="409"/>
      <c r="Y42" s="270" t="b">
        <f>OR(Y30:Y41)</f>
        <v>0</v>
      </c>
    </row>
    <row r="43" spans="15:25" ht="12.75">
      <c r="O43" s="42"/>
      <c r="P43" s="32" t="s">
        <v>107</v>
      </c>
      <c r="Q43" s="43" t="e">
        <f>(Q41-Q45*Q51/P51-Q44*SQRT(S63)/ABS(SlopeS)*(Q52-2*Q41*Q51+Q41*Q41*P51-Q45*(Q52-Q51*Q51/P51))^0.5)/(1-Q45)</f>
        <v>#DIV/0!</v>
      </c>
      <c r="R43" s="7"/>
      <c r="S43" s="41"/>
      <c r="T43" s="7"/>
      <c r="U43" s="7"/>
      <c r="V43" s="6"/>
      <c r="W43" s="408" t="s">
        <v>81</v>
      </c>
      <c r="X43" s="409"/>
      <c r="Y43" s="270" t="b">
        <f>AND(Y29,Y42)</f>
        <v>0</v>
      </c>
    </row>
    <row r="44" spans="15:25" ht="12.75">
      <c r="O44" s="44"/>
      <c r="P44" s="45" t="s">
        <v>108</v>
      </c>
      <c r="Q44" s="46" t="e">
        <f>TINV(0.05,P63)</f>
        <v>#NUM!</v>
      </c>
      <c r="R44" s="7"/>
      <c r="S44" s="7"/>
      <c r="T44" s="7"/>
      <c r="U44" s="7"/>
      <c r="V44" s="6"/>
      <c r="W44" s="397" t="s">
        <v>97</v>
      </c>
      <c r="X44" s="398"/>
      <c r="Y44" s="271">
        <f>IF(Y43,Calc!L4^2+Calc!L5^2+Calc!L6^2+Calc!L7^2+Calc!L8^2+Calc!L9^2+Calc!L10^2+Calc!L11^2+Calc!L12^2+Calc!L13^2+Calc!L14^2+Calc!L15^2,"")</f>
      </c>
    </row>
    <row r="45" spans="15:25" ht="13.5" thickBot="1">
      <c r="O45" s="47"/>
      <c r="P45" s="48" t="s">
        <v>105</v>
      </c>
      <c r="Q45" s="49" t="e">
        <f>Q44*Q44*S63*P51/(Q33*Q33)</f>
        <v>#NUM!</v>
      </c>
      <c r="R45" s="7"/>
      <c r="S45" s="7"/>
      <c r="T45" s="7"/>
      <c r="U45" s="7"/>
      <c r="V45" s="6"/>
      <c r="W45" s="399" t="s">
        <v>98</v>
      </c>
      <c r="X45" s="400"/>
      <c r="Y45" s="272">
        <f>IF(Y43,SUM(Calc!L4:L15)^2/COUNT(Calc!L4:L15),"")</f>
      </c>
    </row>
    <row r="46" spans="15:25" ht="13.5" thickBot="1">
      <c r="O46" s="50"/>
      <c r="P46" s="7"/>
      <c r="Q46" s="51"/>
      <c r="R46" s="7"/>
      <c r="S46" s="7"/>
      <c r="T46" s="7"/>
      <c r="U46" s="7"/>
      <c r="V46" s="6"/>
      <c r="W46" s="259"/>
      <c r="X46" s="259"/>
      <c r="Y46" s="273"/>
    </row>
    <row r="47" spans="15:25" ht="13.5" thickBot="1">
      <c r="O47" s="52"/>
      <c r="P47" s="453" t="s">
        <v>112</v>
      </c>
      <c r="Q47" s="429"/>
      <c r="R47" s="429"/>
      <c r="S47" s="453" t="s">
        <v>113</v>
      </c>
      <c r="T47" s="430"/>
      <c r="U47" s="7"/>
      <c r="V47" s="7"/>
      <c r="W47" s="260" t="s">
        <v>89</v>
      </c>
      <c r="X47" s="261" t="s">
        <v>90</v>
      </c>
      <c r="Y47" s="274">
        <v>1</v>
      </c>
    </row>
    <row r="48" spans="15:25" ht="12.75">
      <c r="O48" s="13" t="s">
        <v>26</v>
      </c>
      <c r="P48" s="53" t="e">
        <f>Q29</f>
        <v>#DIV/0!</v>
      </c>
      <c r="Q48" s="53" t="e">
        <f>SumXSXTa</f>
        <v>#DIV/0!</v>
      </c>
      <c r="R48" s="53" t="e">
        <f>Q28</f>
        <v>#DIV/0!</v>
      </c>
      <c r="S48" s="54" t="e">
        <f>P48</f>
        <v>#DIV/0!</v>
      </c>
      <c r="T48" s="38" t="e">
        <f>Q48</f>
        <v>#DIV/0!</v>
      </c>
      <c r="U48" s="55"/>
      <c r="V48" s="16"/>
      <c r="W48" s="257" t="s">
        <v>19</v>
      </c>
      <c r="X48" s="262" t="s">
        <v>32</v>
      </c>
      <c r="Y48" s="275">
        <f>IF(Y43,COUNT(Calc!L4:L15),)</f>
        <v>0</v>
      </c>
    </row>
    <row r="49" spans="15:25" ht="12.75">
      <c r="O49" s="13"/>
      <c r="P49" s="56" t="e">
        <f>SumXSXTa</f>
        <v>#DIV/0!</v>
      </c>
      <c r="Q49" s="56" t="e">
        <f>SumXTaXTa</f>
        <v>#DIV/0!</v>
      </c>
      <c r="R49" s="53" t="e">
        <f>SumXTaXB</f>
        <v>#DIV/0!</v>
      </c>
      <c r="S49" s="54" t="e">
        <f>P49</f>
        <v>#DIV/0!</v>
      </c>
      <c r="T49" s="38" t="e">
        <f>Q49</f>
        <v>#DIV/0!</v>
      </c>
      <c r="U49" s="55"/>
      <c r="V49" s="16"/>
      <c r="W49" s="257" t="s">
        <v>17</v>
      </c>
      <c r="X49" s="262" t="s">
        <v>37</v>
      </c>
      <c r="Y49" s="276">
        <f>IF(Y43,SUM(Calc!L4:L15),)</f>
        <v>0</v>
      </c>
    </row>
    <row r="50" spans="15:25" ht="12.75">
      <c r="O50" s="20"/>
      <c r="P50" s="57" t="e">
        <f>SumXSXB</f>
        <v>#DIV/0!</v>
      </c>
      <c r="Q50" s="58" t="e">
        <f>SumXTaXB</f>
        <v>#DIV/0!</v>
      </c>
      <c r="R50" s="57" t="e">
        <f>SumXBXB</f>
        <v>#DIV/0!</v>
      </c>
      <c r="S50" s="59"/>
      <c r="T50" s="31"/>
      <c r="U50" s="55"/>
      <c r="V50" s="16"/>
      <c r="W50" s="258" t="s">
        <v>18</v>
      </c>
      <c r="X50" s="263" t="s">
        <v>38</v>
      </c>
      <c r="Y50" s="276">
        <f>COUNT(Calc!L4:L15)*Y28</f>
        <v>0</v>
      </c>
    </row>
    <row r="51" spans="15:25" ht="12.75">
      <c r="O51" s="10" t="s">
        <v>27</v>
      </c>
      <c r="P51" s="61" t="e">
        <f>(Q49*R50-R49*Q50)/MDETERM(P48:R50)</f>
        <v>#DIV/0!</v>
      </c>
      <c r="Q51" s="61" t="e">
        <f>-(P49*R50-R49*P50)/MDETERM(P48:R50)</f>
        <v>#DIV/0!</v>
      </c>
      <c r="R51" s="61" t="e">
        <f>(P49*Q50-Q49*P50)/MDETERM(P48:R50)</f>
        <v>#DIV/0!</v>
      </c>
      <c r="S51" s="54" t="e">
        <f>T49/(S48*T49-T48*S49)</f>
        <v>#DIV/0!</v>
      </c>
      <c r="T51" s="38" t="e">
        <f>T48/(T48*S49-S48*T49)</f>
        <v>#DIV/0!</v>
      </c>
      <c r="U51" s="55"/>
      <c r="V51" s="16"/>
      <c r="W51" s="257" t="s">
        <v>78</v>
      </c>
      <c r="X51" s="264"/>
      <c r="Y51" s="277" t="e">
        <f>SumXB/NB</f>
        <v>#DIV/0!</v>
      </c>
    </row>
    <row r="52" spans="15:25" ht="13.5" thickBot="1">
      <c r="O52" s="13"/>
      <c r="P52" s="56" t="e">
        <f>-(Q48*R50-Q50*R48)/MDETERM(P48:R50)</f>
        <v>#DIV/0!</v>
      </c>
      <c r="Q52" s="56" t="e">
        <f>(P48*R50-P50*R48)/MDETERM(P48:R50)</f>
        <v>#DIV/0!</v>
      </c>
      <c r="R52" s="56" t="e">
        <f>-(P48*Q50-Q48*P50)/MDETERM(P48:R50)</f>
        <v>#DIV/0!</v>
      </c>
      <c r="S52" s="54" t="e">
        <f>S49/(T48*S49-S48*T49)</f>
        <v>#DIV/0!</v>
      </c>
      <c r="T52" s="38" t="e">
        <f>S48/(S48*T49-T48*S49)</f>
        <v>#DIV/0!</v>
      </c>
      <c r="U52" s="55"/>
      <c r="V52" s="16"/>
      <c r="W52" s="265" t="s">
        <v>76</v>
      </c>
      <c r="X52" s="266"/>
      <c r="Y52" s="278" t="e">
        <f>SumYB/NB</f>
        <v>#DIV/0!</v>
      </c>
    </row>
    <row r="53" spans="15:22" ht="13.5" thickBot="1">
      <c r="O53" s="62"/>
      <c r="P53" s="63" t="e">
        <f>(Q48*R49-Q49*R48)/MDETERM(P48:R50)</f>
        <v>#DIV/0!</v>
      </c>
      <c r="Q53" s="63" t="e">
        <f>-(P48*R49-P49*R48)/MDETERM(P48:R50)</f>
        <v>#DIV/0!</v>
      </c>
      <c r="R53" s="63" t="e">
        <f>(P48*Q49-Q48*P49)/MDETERM(P48:R50)</f>
        <v>#DIV/0!</v>
      </c>
      <c r="S53" s="64"/>
      <c r="T53" s="65"/>
      <c r="U53" s="55"/>
      <c r="V53" s="16"/>
    </row>
    <row r="54" spans="15:22" ht="13.5" thickBot="1">
      <c r="O54" s="7"/>
      <c r="P54" s="7"/>
      <c r="Q54" s="7"/>
      <c r="R54" s="7"/>
      <c r="S54" s="7"/>
      <c r="T54" s="7"/>
      <c r="U54" s="7"/>
      <c r="V54" s="6"/>
    </row>
    <row r="55" spans="15:22" ht="13.5" thickBot="1">
      <c r="O55" s="428" t="s">
        <v>64</v>
      </c>
      <c r="P55" s="429"/>
      <c r="Q55" s="429"/>
      <c r="R55" s="429"/>
      <c r="S55" s="429"/>
      <c r="T55" s="429"/>
      <c r="U55" s="430"/>
      <c r="V55" s="6"/>
    </row>
    <row r="56" spans="15:22" ht="12.75">
      <c r="O56" s="66" t="s">
        <v>52</v>
      </c>
      <c r="P56" s="424" t="s">
        <v>54</v>
      </c>
      <c r="Q56" s="426" t="e">
        <f>(SumYtota)^2/Ntota</f>
        <v>#DIV/0!</v>
      </c>
      <c r="R56" s="427"/>
      <c r="S56" s="67" t="s">
        <v>56</v>
      </c>
      <c r="T56" s="68"/>
      <c r="U56" s="69"/>
      <c r="V56" s="6"/>
    </row>
    <row r="57" spans="15:22" ht="12.75">
      <c r="O57" s="20" t="s">
        <v>53</v>
      </c>
      <c r="P57" s="425"/>
      <c r="Q57" s="433" t="s">
        <v>55</v>
      </c>
      <c r="R57" s="434"/>
      <c r="S57" s="71" t="s">
        <v>57</v>
      </c>
      <c r="T57" s="72" t="s">
        <v>103</v>
      </c>
      <c r="U57" s="73" t="s">
        <v>104</v>
      </c>
      <c r="V57" s="6"/>
    </row>
    <row r="58" spans="15:22" ht="12.75">
      <c r="O58" s="13" t="s">
        <v>51</v>
      </c>
      <c r="P58" s="74">
        <v>2</v>
      </c>
      <c r="Q58" s="449" t="e">
        <f>Q37*Q31+Q38*Q30</f>
        <v>#DIV/0!</v>
      </c>
      <c r="R58" s="458"/>
      <c r="S58" s="435"/>
      <c r="T58" s="436"/>
      <c r="U58" s="437"/>
      <c r="V58" s="76"/>
    </row>
    <row r="59" spans="15:22" ht="12.75">
      <c r="O59" s="13" t="s">
        <v>61</v>
      </c>
      <c r="P59" s="74">
        <f>NB-1</f>
        <v>-1</v>
      </c>
      <c r="Q59" s="431" t="e">
        <f>(Q31*Q33+Q30*Q34+Q32*Q35)-Q58</f>
        <v>#DIV/0!</v>
      </c>
      <c r="R59" s="432" t="e">
        <f>SumXSY*SlopeS+SumXTaY*SlopeTa+SumXBY*SlopeB</f>
        <v>#DIV/0!</v>
      </c>
      <c r="S59" s="77" t="e">
        <f>IF(P59=0,0,Q59/P59)</f>
        <v>#DIV/0!</v>
      </c>
      <c r="T59" s="80" t="e">
        <f>IF(S63=0,0,S59/S63)</f>
        <v>#DIV/0!</v>
      </c>
      <c r="U59" s="78" t="e">
        <f>IF(P59=0,"d.f. = 0",FINV(0.05,P59,P63))</f>
        <v>#NUM!</v>
      </c>
      <c r="V59" s="76"/>
    </row>
    <row r="60" spans="15:22" ht="12.75">
      <c r="O60" s="17" t="s">
        <v>63</v>
      </c>
      <c r="P60" s="74">
        <v>1</v>
      </c>
      <c r="Q60" s="431">
        <f>(SUM(P15:U15)-SUM(P16:U16)+SUM($X$15:$AC$15)-SUM($X$16:$AC$16)+SUM($Y$44:$Y$44)-SUM($Y$45:$Y$45))/(Xs+Q18+$Y$47-2)</f>
        <v>0</v>
      </c>
      <c r="R60" s="432"/>
      <c r="S60" s="79">
        <f>Q60/P60</f>
        <v>0</v>
      </c>
      <c r="T60" s="80" t="e">
        <f>IF(S63=0,0,S60/S63)</f>
        <v>#DIV/0!</v>
      </c>
      <c r="U60" s="81" t="e">
        <f>FINV(0.05,P60,P63)</f>
        <v>#NUM!</v>
      </c>
      <c r="V60" s="76"/>
    </row>
    <row r="61" spans="15:22" ht="12.75">
      <c r="O61" s="20" t="s">
        <v>62</v>
      </c>
      <c r="P61" s="72">
        <f>Xs-1</f>
        <v>-1</v>
      </c>
      <c r="Q61" s="440" t="e">
        <f>Q62-Q60-Q59-Q58</f>
        <v>#DIV/0!</v>
      </c>
      <c r="R61" s="441"/>
      <c r="S61" s="79" t="e">
        <f>Q61/P61</f>
        <v>#DIV/0!</v>
      </c>
      <c r="T61" s="70" t="e">
        <f>IF(S63=0,0,S61/S63)</f>
        <v>#DIV/0!</v>
      </c>
      <c r="U61" s="82" t="e">
        <f>FINV(0.05,P61,P63)</f>
        <v>#NUM!</v>
      </c>
      <c r="V61" s="83"/>
    </row>
    <row r="62" spans="15:22" ht="12.75">
      <c r="O62" s="17" t="s">
        <v>58</v>
      </c>
      <c r="P62" s="74">
        <f>SUM(P58:P61)</f>
        <v>1</v>
      </c>
      <c r="Q62" s="449" t="e">
        <f>SUM(P16:U16)+SUM($Y$45:$Y$45)+SUM($X$16:$AC$16)-Q56</f>
        <v>#DIV/0!</v>
      </c>
      <c r="R62" s="450"/>
      <c r="S62" s="446"/>
      <c r="T62" s="447"/>
      <c r="U62" s="448"/>
      <c r="V62" s="76"/>
    </row>
    <row r="63" spans="15:22" ht="12.75">
      <c r="O63" s="20" t="s">
        <v>59</v>
      </c>
      <c r="P63" s="72">
        <f>P64-P62</f>
        <v>-2</v>
      </c>
      <c r="Q63" s="433" t="e">
        <f>Q64-Q62</f>
        <v>#DIV/0!</v>
      </c>
      <c r="R63" s="442"/>
      <c r="S63" s="115" t="e">
        <f>Q63/P63</f>
        <v>#DIV/0!</v>
      </c>
      <c r="T63" s="451"/>
      <c r="U63" s="452"/>
      <c r="V63" s="76"/>
    </row>
    <row r="64" spans="15:22" ht="13.5" thickBot="1">
      <c r="O64" s="62" t="s">
        <v>60</v>
      </c>
      <c r="P64" s="84">
        <f>Ntota-1</f>
        <v>-1</v>
      </c>
      <c r="Q64" s="438" t="e">
        <f>(SUM($X$15:$AC$15)+SUM($Y$44:$Y$44)+SUM(P15:U15))-(Q23^2)/Q20</f>
        <v>#DIV/0!</v>
      </c>
      <c r="R64" s="439"/>
      <c r="S64" s="443"/>
      <c r="T64" s="444"/>
      <c r="U64" s="445"/>
      <c r="V64" s="76"/>
    </row>
    <row r="65" spans="15:22" ht="13.5" thickBot="1">
      <c r="O65" s="7"/>
      <c r="P65" s="7"/>
      <c r="Q65" s="7"/>
      <c r="R65" s="7"/>
      <c r="S65" s="7"/>
      <c r="T65" s="7"/>
      <c r="U65" s="7"/>
      <c r="V65" s="6"/>
    </row>
    <row r="66" spans="15:22" ht="12.75">
      <c r="O66" s="85" t="s">
        <v>109</v>
      </c>
      <c r="P66" s="86" t="s">
        <v>68</v>
      </c>
      <c r="Q66" s="87" t="s">
        <v>70</v>
      </c>
      <c r="R66" s="88" t="s">
        <v>71</v>
      </c>
      <c r="S66" s="87" t="s">
        <v>72</v>
      </c>
      <c r="T66" s="88" t="s">
        <v>73</v>
      </c>
      <c r="U66" s="89" t="s">
        <v>74</v>
      </c>
      <c r="V66" s="6"/>
    </row>
    <row r="67" spans="15:22" ht="12.75">
      <c r="O67" s="90" t="s">
        <v>24</v>
      </c>
      <c r="P67" s="91">
        <v>0</v>
      </c>
      <c r="Q67" s="92"/>
      <c r="R67" s="75"/>
      <c r="S67" s="93"/>
      <c r="T67" s="94"/>
      <c r="U67" s="95" t="e">
        <f>P67*SlopeS+Q36</f>
        <v>#DIV/0!</v>
      </c>
      <c r="V67" s="6"/>
    </row>
    <row r="68" spans="15:24" ht="12.75">
      <c r="O68" s="90"/>
      <c r="P68" s="96" t="e">
        <f>IF($X$14,Calc!$C$3,NA())</f>
        <v>#N/A</v>
      </c>
      <c r="Q68" s="74" t="e">
        <f>IF(AND($X$14,$X$9),Calc!$C$4,NA())</f>
        <v>#N/A</v>
      </c>
      <c r="R68" s="97" t="e">
        <f>IF(AND($X$14,$X$10),Calc!$C$5,NA())</f>
        <v>#N/A</v>
      </c>
      <c r="S68" s="74" t="e">
        <f>IF(AND($X$14,$X$11),Calc!$C$6,NA())</f>
        <v>#N/A</v>
      </c>
      <c r="T68" s="98" t="e">
        <f>IF(AND($X$14,$X$12),Calc!$C$7,NA())</f>
        <v>#N/A</v>
      </c>
      <c r="U68" s="99" t="e">
        <f>P68*SlopeS+Q36</f>
        <v>#N/A</v>
      </c>
      <c r="V68" s="6"/>
      <c r="X68" t="s">
        <v>114</v>
      </c>
    </row>
    <row r="69" spans="15:22" ht="12.75">
      <c r="O69" s="90"/>
      <c r="P69" s="96" t="e">
        <f>IF($Y$14,Calc!$D$3,NA())</f>
        <v>#N/A</v>
      </c>
      <c r="Q69" s="100" t="e">
        <f>IF(AND($Y$14,$Y$9),Calc!$D$4,NA())</f>
        <v>#N/A</v>
      </c>
      <c r="R69" s="74" t="e">
        <f>IF(AND($Y$14,$Y$10),Calc!$D$5,NA())</f>
        <v>#N/A</v>
      </c>
      <c r="S69" s="74" t="e">
        <f>IF(AND($Y$14,$Y$11),Calc!$D$6,NA())</f>
        <v>#N/A</v>
      </c>
      <c r="T69" s="98" t="e">
        <f>IF(AND($Y$14,$Y$12),Calc!$D$7,NA())</f>
        <v>#N/A</v>
      </c>
      <c r="U69" s="99" t="e">
        <f>P69*SlopeS+Q36</f>
        <v>#N/A</v>
      </c>
      <c r="V69" s="6"/>
    </row>
    <row r="70" spans="15:22" ht="12.75">
      <c r="O70" s="90"/>
      <c r="P70" s="96" t="e">
        <f>IF($Z$14,Calc!$E$3,NA())</f>
        <v>#N/A</v>
      </c>
      <c r="Q70" s="74" t="e">
        <f>IF(AND($Z$14,$Z$9),Calc!$E$4,NA())</f>
        <v>#N/A</v>
      </c>
      <c r="R70" s="74" t="e">
        <f>IF(AND($Z$14,$Z$10),Calc!$E$5,NA())</f>
        <v>#N/A</v>
      </c>
      <c r="S70" s="74" t="e">
        <f>IF(AND($Z$14,$Z$11),Calc!$E$6,NA())</f>
        <v>#N/A</v>
      </c>
      <c r="T70" s="98" t="e">
        <f>IF(AND($Z$14,$Z$12),Calc!$E$7,NA())</f>
        <v>#N/A</v>
      </c>
      <c r="U70" s="99" t="e">
        <f>P70*SlopeS+Q36</f>
        <v>#N/A</v>
      </c>
      <c r="V70" s="6"/>
    </row>
    <row r="71" spans="15:22" ht="12.75">
      <c r="O71" s="90"/>
      <c r="P71" s="96" t="e">
        <f>IF($AA$14,Calc!$F$3,NA())</f>
        <v>#N/A</v>
      </c>
      <c r="Q71" s="74" t="e">
        <f>IF(AND($AA$14,$AA$9),Calc!$F$4,NA())</f>
        <v>#N/A</v>
      </c>
      <c r="R71" s="74" t="e">
        <f>IF(AND($AA$14,$AA$10),Calc!$F$5,NA())</f>
        <v>#N/A</v>
      </c>
      <c r="S71" s="74" t="e">
        <f>IF(AND($AA$14,$AA$11),Calc!$F$6,NA())</f>
        <v>#N/A</v>
      </c>
      <c r="T71" s="98" t="e">
        <f>IF(AND($AA$14,$AA$12),Calc!$F$7,NA())</f>
        <v>#N/A</v>
      </c>
      <c r="U71" s="99" t="e">
        <f>P71*SlopeS+Q36</f>
        <v>#N/A</v>
      </c>
      <c r="V71" s="6"/>
    </row>
    <row r="72" spans="15:22" ht="12.75">
      <c r="O72" s="90"/>
      <c r="P72" s="96" t="e">
        <f>IF($AB$14,Calc!$G$3,NA())</f>
        <v>#N/A</v>
      </c>
      <c r="Q72" s="74" t="e">
        <f>IF(AND($AB$14,$AB$9),Calc!$G$4,NA())</f>
        <v>#N/A</v>
      </c>
      <c r="R72" s="74" t="e">
        <f>IF(AND($AB$14,$AB$10),Calc!$G$5,NA())</f>
        <v>#N/A</v>
      </c>
      <c r="S72" s="74" t="e">
        <f>IF(AND($AB$14,$AB$11),Calc!$G$6,NA())</f>
        <v>#N/A</v>
      </c>
      <c r="T72" s="98" t="e">
        <f>IF(AND($AB$14,$AB$12),Calc!$G$7,NA())</f>
        <v>#N/A</v>
      </c>
      <c r="U72" s="99" t="e">
        <f>P72*SlopeS+Q36</f>
        <v>#N/A</v>
      </c>
      <c r="V72" s="6"/>
    </row>
    <row r="73" spans="15:22" ht="12.75">
      <c r="O73" s="90"/>
      <c r="P73" s="101" t="e">
        <f>IF($AC$14,Calc!$H$3,NA())</f>
        <v>#N/A</v>
      </c>
      <c r="Q73" s="72" t="e">
        <f>IF(AND($AC$14,$AC$9),Calc!$H$4,NA())</f>
        <v>#N/A</v>
      </c>
      <c r="R73" s="72" t="e">
        <f>IF(AND($AC$14,$AC$10),Calc!$H$5,NA())</f>
        <v>#N/A</v>
      </c>
      <c r="S73" s="72" t="e">
        <f>IF(AND($AC$14,$AC$11),Calc!$H$6,NA())</f>
        <v>#N/A</v>
      </c>
      <c r="T73" s="71" t="e">
        <f>IF(AND($AC$14,$AC$12),Calc!$H$7,NA())</f>
        <v>#N/A</v>
      </c>
      <c r="U73" s="102" t="e">
        <f>P73*SlopeS+Q36</f>
        <v>#N/A</v>
      </c>
      <c r="V73" s="6"/>
    </row>
    <row r="74" spans="15:22" ht="12.75">
      <c r="O74" s="103" t="s">
        <v>61</v>
      </c>
      <c r="P74" s="98">
        <v>0</v>
      </c>
      <c r="Q74" s="74" t="e">
        <f>IF(AND($Y$43,$Y$30),Calc!$L$4,NA())</f>
        <v>#N/A</v>
      </c>
      <c r="R74" s="98" t="e">
        <f>IF(AND($Y$43,$Y$31),Calc!$L$5,NA())</f>
        <v>#N/A</v>
      </c>
      <c r="S74" s="74" t="e">
        <f>IF(AND($Y$43,$Y$32),Calc!$L$6,NA())</f>
        <v>#N/A</v>
      </c>
      <c r="T74" s="74" t="e">
        <f>IF(AND($Y$43,$Y$33),Calc!$L$7,NA())</f>
        <v>#N/A</v>
      </c>
      <c r="U74" s="104"/>
      <c r="V74" s="6"/>
    </row>
    <row r="75" spans="15:22" ht="12.75">
      <c r="O75" s="105"/>
      <c r="P75" s="98">
        <v>0</v>
      </c>
      <c r="Q75" s="74" t="e">
        <f>IF(AND($Y$43,$Y$34),Calc!$L$8,NA())</f>
        <v>#N/A</v>
      </c>
      <c r="R75" s="98" t="e">
        <f>IF(AND($Y$43,$Y$35),Calc!$L$9,NA())</f>
        <v>#N/A</v>
      </c>
      <c r="S75" s="74" t="e">
        <f>IF(AND($Y$43,$Y$36),Calc!$L$10,NA())</f>
        <v>#N/A</v>
      </c>
      <c r="T75" s="74" t="e">
        <f>IF(AND($Y$43,$Y$37),Calc!$L$11,NA())</f>
        <v>#N/A</v>
      </c>
      <c r="U75" s="104"/>
      <c r="V75" s="6"/>
    </row>
    <row r="76" spans="15:22" ht="12.75">
      <c r="O76" s="106"/>
      <c r="P76" s="98">
        <v>0</v>
      </c>
      <c r="Q76" s="74" t="e">
        <f>IF(AND($Y$43,$Y$38),Calc!$L$12,NA())</f>
        <v>#N/A</v>
      </c>
      <c r="R76" s="98" t="e">
        <f>IF(AND($Y$43,$Y$39),Calc!$L$13,NA())</f>
        <v>#N/A</v>
      </c>
      <c r="S76" s="74" t="e">
        <f>IF(AND($Y$43,$Y$40),Calc!$L$14,NA())</f>
        <v>#N/A</v>
      </c>
      <c r="T76" s="74" t="e">
        <f>IF(AND($Y$43,$Y$41),Calc!$L$15,NA())</f>
        <v>#N/A</v>
      </c>
      <c r="U76" s="104"/>
      <c r="V76" s="6"/>
    </row>
    <row r="77" spans="15:22" ht="12.75">
      <c r="O77" s="90" t="s">
        <v>69</v>
      </c>
      <c r="P77" s="91">
        <v>0</v>
      </c>
      <c r="Q77" s="92"/>
      <c r="R77" s="75"/>
      <c r="S77" s="93"/>
      <c r="T77" s="94"/>
      <c r="U77" s="95" t="e">
        <f aca="true" t="shared" si="4" ref="U77:U83">P77*SlopeTa+$Q$36</f>
        <v>#DIV/0!</v>
      </c>
      <c r="V77" s="6"/>
    </row>
    <row r="78" spans="15:22" ht="12.75">
      <c r="O78" s="90"/>
      <c r="P78" s="96" t="e">
        <f>IF(P14,Calc!C10,NA())</f>
        <v>#N/A</v>
      </c>
      <c r="Q78" s="74" t="e">
        <f>IF(AND(P14,P9),Calc!C11,NA())</f>
        <v>#N/A</v>
      </c>
      <c r="R78" s="98" t="e">
        <f>IF(AND(P14,P10),Calc!C12,NA())</f>
        <v>#N/A</v>
      </c>
      <c r="S78" s="74" t="e">
        <f>IF(AND(P14,P11),Calc!C13,NA())</f>
        <v>#N/A</v>
      </c>
      <c r="T78" s="98" t="e">
        <f>IF(P14="TRUE",Calc!C14,NA())</f>
        <v>#N/A</v>
      </c>
      <c r="U78" s="99" t="e">
        <f t="shared" si="4"/>
        <v>#N/A</v>
      </c>
      <c r="V78" s="6"/>
    </row>
    <row r="79" spans="15:22" ht="12.75">
      <c r="O79" s="90"/>
      <c r="P79" s="96" t="e">
        <f>IF(Q14,Calc!D10,NA())</f>
        <v>#N/A</v>
      </c>
      <c r="Q79" s="74" t="e">
        <f>IF(AND(Q14,Q9),Calc!D11,NA())</f>
        <v>#N/A</v>
      </c>
      <c r="R79" s="98" t="e">
        <f>IF(AND(Q14,Q10),Calc!D12,NA())</f>
        <v>#N/A</v>
      </c>
      <c r="S79" s="74" t="e">
        <f>IF(AND(Q14,Q11),Calc!D13,NA())</f>
        <v>#N/A</v>
      </c>
      <c r="T79" s="98" t="e">
        <f>IF(AND(Q14,Q12),Calc!D14,NA())</f>
        <v>#N/A</v>
      </c>
      <c r="U79" s="99" t="e">
        <f t="shared" si="4"/>
        <v>#N/A</v>
      </c>
      <c r="V79" s="6"/>
    </row>
    <row r="80" spans="15:22" ht="12.75">
      <c r="O80" s="90"/>
      <c r="P80" s="96" t="e">
        <f>IF(R14,Calc!E10,NA())</f>
        <v>#N/A</v>
      </c>
      <c r="Q80" s="74" t="e">
        <f>IF(AND(R14,R9),Calc!E11,NA())</f>
        <v>#N/A</v>
      </c>
      <c r="R80" s="98" t="e">
        <f>IF(AND(R14,R10),Calc!E12,NA())</f>
        <v>#N/A</v>
      </c>
      <c r="S80" s="74" t="e">
        <f>IF(AND(R14,R11),Calc!E13,NA())</f>
        <v>#N/A</v>
      </c>
      <c r="T80" s="98" t="e">
        <f>IF(AND(R14,R12),Calc!E14,NA())</f>
        <v>#N/A</v>
      </c>
      <c r="U80" s="99" t="e">
        <f t="shared" si="4"/>
        <v>#N/A</v>
      </c>
      <c r="V80" s="6"/>
    </row>
    <row r="81" spans="15:22" ht="12.75">
      <c r="O81" s="90"/>
      <c r="P81" s="96" t="e">
        <f>IF(S14,Calc!F10,NA())</f>
        <v>#N/A</v>
      </c>
      <c r="Q81" s="74" t="e">
        <f>IF(AND(S14,S9),Calc!F11,NA())</f>
        <v>#N/A</v>
      </c>
      <c r="R81" s="98" t="e">
        <f>IF(AND(S14,S10),Calc!F12,NA())</f>
        <v>#N/A</v>
      </c>
      <c r="S81" s="74" t="e">
        <f>IF(AND(S14,S11),Calc!F13,NA())</f>
        <v>#N/A</v>
      </c>
      <c r="T81" s="98" t="e">
        <f>IF(AND(S14,S12),Calc!F14,NA())</f>
        <v>#N/A</v>
      </c>
      <c r="U81" s="99" t="e">
        <f t="shared" si="4"/>
        <v>#N/A</v>
      </c>
      <c r="V81" s="6"/>
    </row>
    <row r="82" spans="15:22" ht="12.75">
      <c r="O82" s="90"/>
      <c r="P82" s="96" t="e">
        <f>IF(T14,Calc!G10,NA())</f>
        <v>#N/A</v>
      </c>
      <c r="Q82" s="74" t="e">
        <f>IF(AND(T14,T9),Calc!G11,NA())</f>
        <v>#N/A</v>
      </c>
      <c r="R82" s="98" t="e">
        <f>IF(AND(T14,T10),Calc!G12,NA())</f>
        <v>#N/A</v>
      </c>
      <c r="S82" s="74" t="e">
        <f>IF(AND(T14,T11),Calc!G13,NA())</f>
        <v>#N/A</v>
      </c>
      <c r="T82" s="98" t="e">
        <f>IF(AND(T14,T12),Calc!G14,NA())</f>
        <v>#N/A</v>
      </c>
      <c r="U82" s="99" t="e">
        <f t="shared" si="4"/>
        <v>#N/A</v>
      </c>
      <c r="V82" s="6"/>
    </row>
    <row r="83" spans="15:22" ht="13.5" thickBot="1">
      <c r="O83" s="107"/>
      <c r="P83" s="108" t="e">
        <f>IF(U14,Calc!H10,NA())</f>
        <v>#N/A</v>
      </c>
      <c r="Q83" s="84" t="e">
        <f>IF(AND(U14,U9),Calc!H11,NA())</f>
        <v>#N/A</v>
      </c>
      <c r="R83" s="109" t="e">
        <f>IF(AND(U14,U10),Calc!H12,NA())</f>
        <v>#N/A</v>
      </c>
      <c r="S83" s="84" t="e">
        <f>IF(AND(U14,U11),Calc!H13,NA())</f>
        <v>#N/A</v>
      </c>
      <c r="T83" s="109" t="e">
        <f>IF(AND(U14,U12),Calc!H14,NA())</f>
        <v>#N/A</v>
      </c>
      <c r="U83" s="110" t="e">
        <f t="shared" si="4"/>
        <v>#N/A</v>
      </c>
      <c r="V83" s="6"/>
    </row>
    <row r="84" spans="15:22" ht="12.75">
      <c r="O84" s="8"/>
      <c r="P84" s="98"/>
      <c r="Q84" s="8"/>
      <c r="R84" s="8"/>
      <c r="S84" s="8"/>
      <c r="T84" s="8"/>
      <c r="U84" s="8"/>
      <c r="V84" s="8"/>
    </row>
    <row r="85" spans="15:22" ht="12.75">
      <c r="O85" s="8"/>
      <c r="P85" s="98"/>
      <c r="Q85" s="8"/>
      <c r="R85" s="8"/>
      <c r="S85" s="8"/>
      <c r="T85" s="8"/>
      <c r="U85" s="8"/>
      <c r="V85" s="8"/>
    </row>
    <row r="86" spans="15:22" ht="12.75">
      <c r="O86" s="8"/>
      <c r="P86" s="8"/>
      <c r="Q86" s="8"/>
      <c r="R86" s="8"/>
      <c r="S86" s="8"/>
      <c r="T86" s="8"/>
      <c r="U86" s="8"/>
      <c r="V86" s="8"/>
    </row>
    <row r="87" spans="15:22" ht="12.75">
      <c r="O87" s="8"/>
      <c r="P87" s="8"/>
      <c r="Q87" s="8"/>
      <c r="R87" s="8"/>
      <c r="S87" s="8"/>
      <c r="T87" s="8"/>
      <c r="U87" s="8"/>
      <c r="V87" s="111"/>
    </row>
    <row r="88" spans="15:22" ht="12.75">
      <c r="O88" s="8"/>
      <c r="P88" s="8"/>
      <c r="Q88" s="8"/>
      <c r="R88" s="8"/>
      <c r="S88" s="8"/>
      <c r="T88" s="8"/>
      <c r="U88" s="8"/>
      <c r="V88" s="111"/>
    </row>
    <row r="89" spans="15:22" ht="12.75">
      <c r="O89" s="8"/>
      <c r="P89" s="8"/>
      <c r="Q89" s="8"/>
      <c r="R89" s="8"/>
      <c r="S89" s="8"/>
      <c r="T89" s="8"/>
      <c r="U89" s="8"/>
      <c r="V89" s="111"/>
    </row>
    <row r="90" spans="15:22" ht="12.75">
      <c r="O90" s="8"/>
      <c r="P90" s="8"/>
      <c r="Q90" s="8"/>
      <c r="R90" s="8"/>
      <c r="S90" s="8"/>
      <c r="T90" s="8"/>
      <c r="U90" s="8"/>
      <c r="V90" s="111"/>
    </row>
    <row r="91" spans="15:22" ht="12.75">
      <c r="O91" s="8"/>
      <c r="P91" s="8"/>
      <c r="Q91" s="8"/>
      <c r="R91" s="8"/>
      <c r="S91" s="8"/>
      <c r="T91" s="8"/>
      <c r="U91" s="8"/>
      <c r="V91" s="8"/>
    </row>
    <row r="92" spans="15:22" ht="12.75">
      <c r="O92" s="8"/>
      <c r="P92" s="8"/>
      <c r="Q92" s="8"/>
      <c r="R92" s="8"/>
      <c r="S92" s="8"/>
      <c r="T92" s="8"/>
      <c r="U92" s="8"/>
      <c r="V92" s="8"/>
    </row>
    <row r="93" spans="15:22" ht="12.75">
      <c r="O93" s="8"/>
      <c r="P93" s="8"/>
      <c r="Q93" s="8"/>
      <c r="R93" s="8"/>
      <c r="S93" s="8"/>
      <c r="T93" s="8"/>
      <c r="U93" s="8"/>
      <c r="V93" s="8"/>
    </row>
    <row r="94" spans="15:22" ht="12.75">
      <c r="O94" s="8"/>
      <c r="P94" s="8"/>
      <c r="Q94" s="8"/>
      <c r="R94" s="8"/>
      <c r="S94" s="8"/>
      <c r="T94" s="8"/>
      <c r="U94" s="8"/>
      <c r="V94" s="8"/>
    </row>
    <row r="95" spans="15:22" ht="12.75">
      <c r="O95" s="8"/>
      <c r="P95" s="8"/>
      <c r="Q95" s="8"/>
      <c r="R95" s="8"/>
      <c r="S95" s="8"/>
      <c r="T95" s="8"/>
      <c r="U95" s="8"/>
      <c r="V95" s="8"/>
    </row>
    <row r="96" spans="15:22" ht="12.75">
      <c r="O96" s="8"/>
      <c r="P96" s="8"/>
      <c r="Q96" s="8"/>
      <c r="R96" s="8"/>
      <c r="S96" s="8"/>
      <c r="T96" s="8"/>
      <c r="U96" s="8"/>
      <c r="V96" s="8"/>
    </row>
  </sheetData>
  <sheetProtection/>
  <mergeCells count="36">
    <mergeCell ref="B2:H2"/>
    <mergeCell ref="J2:L2"/>
    <mergeCell ref="B9:H9"/>
    <mergeCell ref="O7:U7"/>
    <mergeCell ref="Q60:R60"/>
    <mergeCell ref="Q58:R58"/>
    <mergeCell ref="Q59:R59"/>
    <mergeCell ref="Q57:R57"/>
    <mergeCell ref="S58:U58"/>
    <mergeCell ref="Q64:R64"/>
    <mergeCell ref="Q61:R61"/>
    <mergeCell ref="Q63:R63"/>
    <mergeCell ref="S64:U64"/>
    <mergeCell ref="S62:U62"/>
    <mergeCell ref="Q62:R62"/>
    <mergeCell ref="T63:U63"/>
    <mergeCell ref="W22:AA22"/>
    <mergeCell ref="W23:AA23"/>
    <mergeCell ref="W18:AA18"/>
    <mergeCell ref="W19:AA19"/>
    <mergeCell ref="W20:AA20"/>
    <mergeCell ref="P56:P57"/>
    <mergeCell ref="Q56:R56"/>
    <mergeCell ref="O55:U55"/>
    <mergeCell ref="S47:T47"/>
    <mergeCell ref="P47:R47"/>
    <mergeCell ref="W7:AC7"/>
    <mergeCell ref="W21:AA21"/>
    <mergeCell ref="W44:X44"/>
    <mergeCell ref="W45:X45"/>
    <mergeCell ref="W30:X41"/>
    <mergeCell ref="W27:Y27"/>
    <mergeCell ref="W29:X29"/>
    <mergeCell ref="W42:X42"/>
    <mergeCell ref="W28:X28"/>
    <mergeCell ref="W43:X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Slope ratio assay</dc:title>
  <dc:subject/>
  <dc:creator>EJ Nieuwenhuys</dc:creator>
  <cp:keywords/>
  <dc:description/>
  <cp:lastModifiedBy>Ed Nieuwenhuys</cp:lastModifiedBy>
  <cp:lastPrinted>2009-03-16T14:59:23Z</cp:lastPrinted>
  <dcterms:created xsi:type="dcterms:W3CDTF">1999-11-23T14:32:48Z</dcterms:created>
  <dcterms:modified xsi:type="dcterms:W3CDTF">2009-03-31T16:31:44Z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467541118</vt:i4>
  </property>
  <property fmtid="{D5CDD505-2E9C-101B-9397-08002B2CF9AE}" pid="4" name="_EmailSubje">
    <vt:lpwstr>SRA31mrt</vt:lpwstr>
  </property>
  <property fmtid="{D5CDD505-2E9C-101B-9397-08002B2CF9AE}" pid="5" name="_AuthorEma">
    <vt:lpwstr>e.nieuwenhuys@sanquin.nl</vt:lpwstr>
  </property>
  <property fmtid="{D5CDD505-2E9C-101B-9397-08002B2CF9AE}" pid="6" name="_AuthorEmailDisplayNa">
    <vt:lpwstr>Nieuwenhuys, Ed</vt:lpwstr>
  </property>
</Properties>
</file>