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300" windowWidth="20415" windowHeight="13695" activeTab="0"/>
  </bookViews>
  <sheets>
    <sheet name="SRA" sheetId="1" r:id="rId1"/>
    <sheet name="Version" sheetId="2" r:id="rId2"/>
    <sheet name="Calc" sheetId="3" state="hidden" r:id="rId3"/>
  </sheets>
  <definedNames>
    <definedName name="NB">'Calc'!$L$48</definedName>
    <definedName name="NS">'Calc'!$P$19</definedName>
    <definedName name="NTa">'Calc'!$D$19</definedName>
    <definedName name="NTb">'SRA'!#REF!</definedName>
    <definedName name="Ntota">'Calc'!$D$20</definedName>
    <definedName name="Ntotb">'SRA'!#REF!</definedName>
    <definedName name="_xlnm.Print_Area" localSheetId="0">'SRA'!$A$1:$N$33</definedName>
    <definedName name="SlopeB">'Calc'!$D$35</definedName>
    <definedName name="SlopeS">'Calc'!$D$33</definedName>
    <definedName name="SlopeTa">'Calc'!$D$34</definedName>
    <definedName name="SlopeTb">'SRA'!#REF!</definedName>
    <definedName name="SumXB">'Calc'!$L$50</definedName>
    <definedName name="SumXBXB">'Calc'!$D$27</definedName>
    <definedName name="SumXBY">'Calc'!$D$32</definedName>
    <definedName name="SumXS">'Calc'!$P$20</definedName>
    <definedName name="SumXSXB">'Calc'!$D$28</definedName>
    <definedName name="SumXSXS">'Calc'!$D$29</definedName>
    <definedName name="SumXSXTa">'Calc'!$D$25</definedName>
    <definedName name="SumXSXTb">'SRA'!#REF!</definedName>
    <definedName name="SumXSY">'Calc'!$D$31</definedName>
    <definedName name="SumXTa">'Calc'!$D$21</definedName>
    <definedName name="SumXTaXB">'Calc'!$D$26</definedName>
    <definedName name="SumXTaXTa">'Calc'!$D$24</definedName>
    <definedName name="SumXTaY">'Calc'!$D$30</definedName>
    <definedName name="SumXTb">'SRA'!#REF!</definedName>
    <definedName name="SumXTbXB">'SRA'!#REF!</definedName>
    <definedName name="SumXTbXTb">'SRA'!#REF!</definedName>
    <definedName name="SumXTbY">'SRA'!#REF!</definedName>
    <definedName name="SumYB">'Calc'!$L$49</definedName>
    <definedName name="SumYS">'Calc'!$P$21</definedName>
    <definedName name="SumYTa">'Calc'!$D$22</definedName>
    <definedName name="SumYTb">'SRA'!#REF!</definedName>
    <definedName name="SumYtota">'Calc'!$D$23</definedName>
    <definedName name="SumYtotb">'SRA'!#REF!</definedName>
    <definedName name="Sxsxtb">'SRA'!#REF!</definedName>
    <definedName name="Sxtb">'SRA'!#REF!</definedName>
    <definedName name="Sxtbxb">'SRA'!#REF!</definedName>
    <definedName name="Sxtbxtb">'SRA'!#REF!</definedName>
    <definedName name="Sytb">'SRA'!#REF!</definedName>
    <definedName name="Sytota">'Calc'!$D$23</definedName>
    <definedName name="Sytotb">'SRA'!#REF!</definedName>
    <definedName name="Xs">'Calc'!$P$18</definedName>
    <definedName name="Xta">'Calc'!$D$18</definedName>
  </definedNames>
  <calcPr fullCalcOnLoad="1"/>
</workbook>
</file>

<file path=xl/sharedStrings.xml><?xml version="1.0" encoding="utf-8"?>
<sst xmlns="http://schemas.openxmlformats.org/spreadsheetml/2006/main" count="177" uniqueCount="133">
  <si>
    <t>Sum doses test</t>
  </si>
  <si>
    <t>Sum reponses standard</t>
  </si>
  <si>
    <t>Sum responses test</t>
  </si>
  <si>
    <t>Responses standard</t>
  </si>
  <si>
    <t>Responses test</t>
  </si>
  <si>
    <t>Doses test</t>
  </si>
  <si>
    <t>Sum doses standard</t>
  </si>
  <si>
    <t>Sum reponses</t>
  </si>
  <si>
    <t>Number responses standard</t>
  </si>
  <si>
    <t>Number responses test</t>
  </si>
  <si>
    <t>Number total responses</t>
  </si>
  <si>
    <t>Sum of squares standard</t>
  </si>
  <si>
    <t>Sum of squares test</t>
  </si>
  <si>
    <t>Sum of squares standard and test</t>
  </si>
  <si>
    <t>Responses blanks</t>
  </si>
  <si>
    <t>Sum of squares standard and blank</t>
  </si>
  <si>
    <t>Sum of squares blank</t>
  </si>
  <si>
    <t>Sum responses blank</t>
  </si>
  <si>
    <t>Sum doses blank</t>
  </si>
  <si>
    <t>Number responses blank</t>
  </si>
  <si>
    <t>Sum of squares test and blank</t>
  </si>
  <si>
    <t>Product of deviation test</t>
  </si>
  <si>
    <t>Product of deviation standard</t>
  </si>
  <si>
    <t>Product of deviation blank</t>
  </si>
  <si>
    <t>Standard</t>
  </si>
  <si>
    <t>Potency</t>
  </si>
  <si>
    <t>Matrix</t>
  </si>
  <si>
    <t>Inverse matrix</t>
  </si>
  <si>
    <t>Ntota</t>
  </si>
  <si>
    <t>NTa</t>
  </si>
  <si>
    <t>SlopeTa</t>
  </si>
  <si>
    <t>NS</t>
  </si>
  <si>
    <t>NB</t>
  </si>
  <si>
    <t>SumXTa</t>
  </si>
  <si>
    <t>SumYTa</t>
  </si>
  <si>
    <t>SumXS</t>
  </si>
  <si>
    <t>SumYS</t>
  </si>
  <si>
    <t>SumYB</t>
  </si>
  <si>
    <t>SumXB</t>
  </si>
  <si>
    <t>SumYtota</t>
  </si>
  <si>
    <t>SumXTaXTa</t>
  </si>
  <si>
    <t>SumXSXTa</t>
  </si>
  <si>
    <t>SumXTaXB</t>
  </si>
  <si>
    <t>SumXTaY</t>
  </si>
  <si>
    <t>SumXSY</t>
  </si>
  <si>
    <t>SumXBY</t>
  </si>
  <si>
    <t>SumXBXB</t>
  </si>
  <si>
    <t>SumXSXB</t>
  </si>
  <si>
    <t>SumXSXS</t>
  </si>
  <si>
    <t>SlopeSa</t>
  </si>
  <si>
    <t>SlopeBa</t>
  </si>
  <si>
    <t>Regression</t>
  </si>
  <si>
    <t xml:space="preserve">Adjustment for mean </t>
  </si>
  <si>
    <t>Nature of variation</t>
  </si>
  <si>
    <t>d.f.</t>
  </si>
  <si>
    <t>Sum of squares</t>
  </si>
  <si>
    <t xml:space="preserve">Mean </t>
  </si>
  <si>
    <t>square</t>
  </si>
  <si>
    <t>Between doses</t>
  </si>
  <si>
    <t>Error</t>
  </si>
  <si>
    <t>Total</t>
  </si>
  <si>
    <t>Blanks</t>
  </si>
  <si>
    <t>Curvature</t>
  </si>
  <si>
    <t>Intersection</t>
  </si>
  <si>
    <t>ANALYSIS OF VARIANCE</t>
  </si>
  <si>
    <t>Number of doses test</t>
  </si>
  <si>
    <t xml:space="preserve">Responses </t>
  </si>
  <si>
    <t xml:space="preserve">Doses </t>
  </si>
  <si>
    <t>dose</t>
  </si>
  <si>
    <t>Test</t>
  </si>
  <si>
    <t>y1</t>
  </si>
  <si>
    <t>y2</t>
  </si>
  <si>
    <t>y3</t>
  </si>
  <si>
    <t>y4</t>
  </si>
  <si>
    <t>y(calc)</t>
  </si>
  <si>
    <t xml:space="preserve">Average responses standard </t>
  </si>
  <si>
    <t>Average responses blank</t>
  </si>
  <si>
    <t xml:space="preserve">Average doses standard </t>
  </si>
  <si>
    <t>Average doses blank</t>
  </si>
  <si>
    <t>Responses all</t>
  </si>
  <si>
    <t>Responses</t>
  </si>
  <si>
    <t>Doses AND responses</t>
  </si>
  <si>
    <t>Dose AND responses</t>
  </si>
  <si>
    <t>Intercept</t>
  </si>
  <si>
    <t>Slope standard</t>
  </si>
  <si>
    <t>Slope test</t>
  </si>
  <si>
    <t>Slope blank</t>
  </si>
  <si>
    <t>Average doses test</t>
  </si>
  <si>
    <t>Average responses test</t>
  </si>
  <si>
    <t>Number of doses blank</t>
  </si>
  <si>
    <t>XB</t>
  </si>
  <si>
    <t>XS</t>
  </si>
  <si>
    <t>XTa</t>
  </si>
  <si>
    <t>Doses standard</t>
  </si>
  <si>
    <t>Doses blanks</t>
  </si>
  <si>
    <t>R</t>
  </si>
  <si>
    <t>Ratio test/standard</t>
  </si>
  <si>
    <t>Sum Y^2</t>
  </si>
  <si>
    <t>Average Sum Y^2</t>
  </si>
  <si>
    <t>Slope test (without blank)</t>
  </si>
  <si>
    <t>Slope standard (without blank)</t>
  </si>
  <si>
    <t>SlopeSa(-Bl)</t>
  </si>
  <si>
    <t>SlopeTa(-Bl)</t>
  </si>
  <si>
    <t>F95%</t>
  </si>
  <si>
    <t>Norm</t>
  </si>
  <si>
    <t>g</t>
  </si>
  <si>
    <t>R upper</t>
  </si>
  <si>
    <t>R lower</t>
  </si>
  <si>
    <t>t</t>
  </si>
  <si>
    <t>graph</t>
  </si>
  <si>
    <t>blanks</t>
  </si>
  <si>
    <t>Number of doses standard</t>
  </si>
  <si>
    <t>3 x 3</t>
  </si>
  <si>
    <t>2 x 2</t>
  </si>
  <si>
    <t xml:space="preserve"> </t>
  </si>
  <si>
    <t>Example from</t>
  </si>
  <si>
    <t>Statistical Method in biological assay</t>
  </si>
  <si>
    <t>Ok</t>
  </si>
  <si>
    <t>Date:</t>
  </si>
  <si>
    <t>Sample name:</t>
  </si>
  <si>
    <t>SRA 27Feb2009</t>
  </si>
  <si>
    <t>F-calc</t>
  </si>
  <si>
    <t>F-critical</t>
  </si>
  <si>
    <t>Predilution sample</t>
  </si>
  <si>
    <t>Standard name</t>
  </si>
  <si>
    <t>Check data for slope ratio assay</t>
  </si>
  <si>
    <t xml:space="preserve">Third edition </t>
  </si>
  <si>
    <t>David J.Finney pag 150</t>
  </si>
  <si>
    <t>Worksheet adapted and checked against routinely used calculation method</t>
  </si>
  <si>
    <t xml:space="preserve">Checked against original source: </t>
  </si>
  <si>
    <t>Ed Nieuwenhuys, 2009</t>
  </si>
  <si>
    <t>Version SRA 28 feb 2009</t>
  </si>
  <si>
    <t>SRA V01Mrt2009</t>
  </si>
</sst>
</file>

<file path=xl/styles.xml><?xml version="1.0" encoding="utf-8"?>
<styleSheet xmlns="http://schemas.openxmlformats.org/spreadsheetml/2006/main">
  <numFmts count="6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* #,##0_-;_-* #,##0\-;_-* &quot;-&quot;_-;_-@_-"/>
    <numFmt numFmtId="192" formatCode="_-&quot;fl&quot;\ * #,##0.00_-;_-&quot;fl&quot;\ * #,##0.00\-;_-&quot;fl&quot;\ * &quot;-&quot;??_-;_-@_-"/>
    <numFmt numFmtId="193" formatCode="_-* #,##0.00_-;_-* #,##0.00\-;_-* &quot;-&quot;??_-;_-@_-"/>
    <numFmt numFmtId="194" formatCode="0.0"/>
    <numFmt numFmtId="195" formatCode="0.00000"/>
    <numFmt numFmtId="196" formatCode="0.0000"/>
    <numFmt numFmtId="197" formatCode="0.000"/>
    <numFmt numFmtId="198" formatCode="0.000000"/>
    <numFmt numFmtId="199" formatCode="0.0000000"/>
    <numFmt numFmtId="200" formatCode="0.00000000"/>
    <numFmt numFmtId="201" formatCode="0.0000000000000000"/>
    <numFmt numFmtId="202" formatCode="0.000000000000000"/>
    <numFmt numFmtId="203" formatCode="0.00000000000000000"/>
    <numFmt numFmtId="204" formatCode="0.000000000000000000"/>
    <numFmt numFmtId="205" formatCode="0.0000000000000000000"/>
    <numFmt numFmtId="206" formatCode="0.00000000000000"/>
    <numFmt numFmtId="207" formatCode="0.0000000000000"/>
    <numFmt numFmtId="208" formatCode="0.000000000000"/>
    <numFmt numFmtId="209" formatCode="0.00000000000"/>
    <numFmt numFmtId="210" formatCode="0.0000000000"/>
    <numFmt numFmtId="211" formatCode="0.000000000"/>
    <numFmt numFmtId="212" formatCode="0.000_)"/>
    <numFmt numFmtId="213" formatCode="0_)"/>
    <numFmt numFmtId="214" formatCode="0.0_)"/>
    <numFmt numFmtId="215" formatCode="0.00_)"/>
    <numFmt numFmtId="216" formatCode="0.00000000000000000000"/>
    <numFmt numFmtId="217" formatCode="0.00000000000000000000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0"/>
    </font>
    <font>
      <sz val="10"/>
      <color indexed="9"/>
      <name val="Arial"/>
      <family val="2"/>
    </font>
    <font>
      <sz val="10"/>
      <color indexed="57"/>
      <name val="Arial"/>
      <family val="2"/>
    </font>
    <font>
      <b/>
      <sz val="12"/>
      <color indexed="8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color indexed="62"/>
      <name val="Arial"/>
      <family val="2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 horizontal="left"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 quotePrefix="1">
      <alignment horizontal="left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 quotePrefix="1">
      <alignment horizontal="left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0" fontId="0" fillId="0" borderId="13" xfId="0" applyFill="1" applyBorder="1" applyAlignment="1" quotePrefix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2" fontId="0" fillId="0" borderId="18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left" vertical="center"/>
    </xf>
    <xf numFmtId="0" fontId="0" fillId="0" borderId="16" xfId="0" applyFill="1" applyBorder="1" applyAlignment="1" quotePrefix="1">
      <alignment horizontal="left" vertical="center"/>
    </xf>
    <xf numFmtId="0" fontId="0" fillId="0" borderId="17" xfId="0" applyFill="1" applyBorder="1" applyAlignment="1" quotePrefix="1">
      <alignment horizontal="left" vertical="center"/>
    </xf>
    <xf numFmtId="2" fontId="0" fillId="0" borderId="18" xfId="0" applyNumberFormat="1" applyFont="1" applyFill="1" applyBorder="1" applyAlignment="1">
      <alignment horizontal="center" vertical="center"/>
    </xf>
    <xf numFmtId="197" fontId="0" fillId="0" borderId="0" xfId="0" applyNumberFormat="1" applyFill="1" applyBorder="1" applyAlignment="1">
      <alignment vertical="center"/>
    </xf>
    <xf numFmtId="196" fontId="0" fillId="0" borderId="0" xfId="0" applyNumberFormat="1" applyFill="1" applyBorder="1" applyAlignment="1">
      <alignment vertical="center"/>
    </xf>
    <xf numFmtId="0" fontId="0" fillId="0" borderId="19" xfId="0" applyFill="1" applyBorder="1" applyAlignment="1" quotePrefix="1">
      <alignment horizontal="left" vertical="center"/>
    </xf>
    <xf numFmtId="0" fontId="0" fillId="0" borderId="20" xfId="0" applyFill="1" applyBorder="1" applyAlignment="1">
      <alignment vertical="center"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 quotePrefix="1">
      <alignment horizontal="left" vertical="center"/>
    </xf>
    <xf numFmtId="2" fontId="0" fillId="0" borderId="23" xfId="0" applyNumberFormat="1" applyFill="1" applyBorder="1" applyAlignment="1">
      <alignment horizontal="center" vertical="center"/>
    </xf>
    <xf numFmtId="0" fontId="0" fillId="0" borderId="20" xfId="0" applyFill="1" applyBorder="1" applyAlignment="1" quotePrefix="1">
      <alignment horizontal="left" vertical="center"/>
    </xf>
    <xf numFmtId="0" fontId="0" fillId="0" borderId="24" xfId="0" applyFill="1" applyBorder="1" applyAlignment="1">
      <alignment vertical="center"/>
    </xf>
    <xf numFmtId="2" fontId="0" fillId="0" borderId="25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197" fontId="0" fillId="0" borderId="25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0" fillId="0" borderId="27" xfId="0" applyFill="1" applyBorder="1" applyAlignment="1" quotePrefix="1">
      <alignment horizontal="left" vertical="center"/>
    </xf>
    <xf numFmtId="197" fontId="0" fillId="0" borderId="23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196" fontId="0" fillId="0" borderId="30" xfId="0" applyNumberFormat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vertical="center"/>
    </xf>
    <xf numFmtId="197" fontId="0" fillId="0" borderId="3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97" fontId="0" fillId="0" borderId="0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2" fontId="0" fillId="0" borderId="0" xfId="0" applyNumberFormat="1" applyFont="1" applyFill="1" applyBorder="1" applyAlignment="1" quotePrefix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35" xfId="0" applyNumberFormat="1" applyFont="1" applyFill="1" applyBorder="1" applyAlignment="1" quotePrefix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2" fontId="0" fillId="0" borderId="36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0" fontId="0" fillId="0" borderId="41" xfId="0" applyFill="1" applyBorder="1" applyAlignment="1" quotePrefix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96" fontId="0" fillId="0" borderId="4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6" fontId="0" fillId="0" borderId="24" xfId="0" applyNumberFormat="1" applyFont="1" applyFill="1" applyBorder="1" applyAlignment="1">
      <alignment horizontal="center" vertical="center"/>
    </xf>
    <xf numFmtId="196" fontId="0" fillId="0" borderId="25" xfId="0" applyNumberFormat="1" applyFont="1" applyFill="1" applyBorder="1" applyAlignment="1">
      <alignment horizontal="center" vertical="center"/>
    </xf>
    <xf numFmtId="196" fontId="0" fillId="0" borderId="22" xfId="0" applyNumberFormat="1" applyFont="1" applyFill="1" applyBorder="1" applyAlignment="1">
      <alignment horizontal="center" vertical="center"/>
    </xf>
    <xf numFmtId="196" fontId="0" fillId="0" borderId="47" xfId="0" applyNumberFormat="1" applyFont="1" applyFill="1" applyBorder="1" applyAlignment="1">
      <alignment horizontal="center" vertical="center"/>
    </xf>
    <xf numFmtId="196" fontId="0" fillId="0" borderId="23" xfId="0" applyNumberFormat="1" applyFont="1" applyFill="1" applyBorder="1" applyAlignment="1">
      <alignment horizontal="center" vertical="center"/>
    </xf>
    <xf numFmtId="196" fontId="0" fillId="0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1" xfId="0" applyFont="1" applyFill="1" applyBorder="1" applyAlignment="1" quotePrefix="1">
      <alignment horizontal="center" vertical="center"/>
    </xf>
    <xf numFmtId="0" fontId="0" fillId="0" borderId="52" xfId="0" applyFont="1" applyFill="1" applyBorder="1" applyAlignment="1" quotePrefix="1">
      <alignment horizontal="center" vertical="center" wrapText="1"/>
    </xf>
    <xf numFmtId="0" fontId="0" fillId="0" borderId="2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 quotePrefix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94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4" fontId="0" fillId="0" borderId="15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94" fontId="0" fillId="0" borderId="1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94" fontId="0" fillId="0" borderId="2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94" fontId="0" fillId="0" borderId="5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6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200" fontId="0" fillId="0" borderId="29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197" fontId="0" fillId="33" borderId="0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56" xfId="0" applyFill="1" applyBorder="1" applyAlignment="1">
      <alignment horizontal="left" vertical="center"/>
    </xf>
    <xf numFmtId="0" fontId="0" fillId="33" borderId="54" xfId="0" applyFill="1" applyBorder="1" applyAlignment="1">
      <alignment vertical="center"/>
    </xf>
    <xf numFmtId="0" fontId="0" fillId="0" borderId="38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34" xfId="0" applyFill="1" applyBorder="1" applyAlignment="1" quotePrefix="1">
      <alignment horizontal="left" vertical="center"/>
    </xf>
    <xf numFmtId="0" fontId="0" fillId="33" borderId="42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54" xfId="0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left" vertical="center"/>
    </xf>
    <xf numFmtId="0" fontId="0" fillId="33" borderId="0" xfId="0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197" fontId="0" fillId="33" borderId="0" xfId="0" applyNumberFormat="1" applyFill="1" applyAlignment="1">
      <alignment horizontal="center" vertical="center"/>
    </xf>
    <xf numFmtId="2" fontId="0" fillId="33" borderId="29" xfId="0" applyNumberFormat="1" applyFill="1" applyBorder="1" applyAlignment="1">
      <alignment horizontal="center" vertical="center"/>
    </xf>
    <xf numFmtId="2" fontId="4" fillId="33" borderId="29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 vertical="center"/>
    </xf>
    <xf numFmtId="196" fontId="0" fillId="33" borderId="0" xfId="0" applyNumberFormat="1" applyFill="1" applyAlignment="1">
      <alignment vertical="center"/>
    </xf>
    <xf numFmtId="2" fontId="0" fillId="33" borderId="0" xfId="0" applyNumberFormat="1" applyFill="1" applyBorder="1" applyAlignment="1">
      <alignment vertical="center"/>
    </xf>
    <xf numFmtId="0" fontId="7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 horizontal="left"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/>
    </xf>
    <xf numFmtId="0" fontId="0" fillId="33" borderId="57" xfId="0" applyFill="1" applyBorder="1" applyAlignment="1">
      <alignment horizontal="left" vertical="center"/>
    </xf>
    <xf numFmtId="0" fontId="0" fillId="33" borderId="58" xfId="0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4" xfId="0" applyBorder="1" applyAlignment="1">
      <alignment/>
    </xf>
    <xf numFmtId="9" fontId="0" fillId="33" borderId="60" xfId="0" applyNumberFormat="1" applyFill="1" applyBorder="1" applyAlignment="1">
      <alignment horizontal="center" vertical="center"/>
    </xf>
    <xf numFmtId="9" fontId="0" fillId="33" borderId="61" xfId="0" applyNumberFormat="1" applyFill="1" applyBorder="1" applyAlignment="1">
      <alignment horizontal="center" vertical="center"/>
    </xf>
    <xf numFmtId="0" fontId="0" fillId="33" borderId="27" xfId="0" applyFill="1" applyBorder="1" applyAlignment="1" quotePrefix="1">
      <alignment horizontal="right" vertical="center"/>
    </xf>
    <xf numFmtId="0" fontId="0" fillId="33" borderId="54" xfId="0" applyFill="1" applyBorder="1" applyAlignment="1">
      <alignment horizontal="right" vertical="center"/>
    </xf>
    <xf numFmtId="2" fontId="4" fillId="33" borderId="32" xfId="0" applyNumberFormat="1" applyFont="1" applyFill="1" applyBorder="1" applyAlignment="1">
      <alignment horizontal="center" vertical="center"/>
    </xf>
    <xf numFmtId="2" fontId="0" fillId="33" borderId="32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right"/>
    </xf>
    <xf numFmtId="0" fontId="0" fillId="0" borderId="54" xfId="0" applyBorder="1" applyAlignment="1">
      <alignment horizontal="right"/>
    </xf>
    <xf numFmtId="0" fontId="0" fillId="0" borderId="4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40" xfId="0" applyFill="1" applyBorder="1" applyAlignment="1">
      <alignment/>
    </xf>
    <xf numFmtId="197" fontId="0" fillId="33" borderId="62" xfId="0" applyNumberFormat="1" applyFill="1" applyBorder="1" applyAlignment="1">
      <alignment horizontal="center" vertical="center"/>
    </xf>
    <xf numFmtId="1" fontId="0" fillId="33" borderId="6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 horizontal="right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64" xfId="0" applyNumberFormat="1" applyFill="1" applyBorder="1" applyAlignment="1">
      <alignment horizontal="center" vertical="center"/>
    </xf>
    <xf numFmtId="0" fontId="0" fillId="0" borderId="65" xfId="0" applyNumberForma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right"/>
    </xf>
    <xf numFmtId="49" fontId="0" fillId="33" borderId="42" xfId="0" applyNumberFormat="1" applyFont="1" applyFill="1" applyBorder="1" applyAlignment="1">
      <alignment/>
    </xf>
    <xf numFmtId="49" fontId="4" fillId="33" borderId="42" xfId="0" applyNumberFormat="1" applyFont="1" applyFill="1" applyBorder="1" applyAlignment="1" applyProtection="1">
      <alignment horizontal="left"/>
      <protection/>
    </xf>
    <xf numFmtId="49" fontId="0" fillId="33" borderId="44" xfId="0" applyNumberFormat="1" applyFont="1" applyFill="1" applyBorder="1" applyAlignment="1">
      <alignment/>
    </xf>
    <xf numFmtId="0" fontId="0" fillId="33" borderId="27" xfId="0" applyFont="1" applyFill="1" applyBorder="1" applyAlignment="1">
      <alignment horizontal="right"/>
    </xf>
    <xf numFmtId="49" fontId="1" fillId="33" borderId="0" xfId="0" applyNumberFormat="1" applyFont="1" applyFill="1" applyBorder="1" applyAlignment="1" applyProtection="1">
      <alignment horizontal="left"/>
      <protection/>
    </xf>
    <xf numFmtId="49" fontId="0" fillId="33" borderId="0" xfId="0" applyNumberFormat="1" applyFont="1" applyFill="1" applyBorder="1" applyAlignment="1">
      <alignment horizontal="left"/>
    </xf>
    <xf numFmtId="49" fontId="0" fillId="33" borderId="23" xfId="0" applyNumberFormat="1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23" xfId="0" applyNumberFormat="1" applyFont="1" applyFill="1" applyBorder="1" applyAlignment="1">
      <alignment/>
    </xf>
    <xf numFmtId="0" fontId="0" fillId="33" borderId="54" xfId="0" applyFont="1" applyFill="1" applyBorder="1" applyAlignment="1" applyProtection="1">
      <alignment horizontal="left"/>
      <protection/>
    </xf>
    <xf numFmtId="0" fontId="9" fillId="33" borderId="38" xfId="0" applyFont="1" applyFill="1" applyBorder="1" applyAlignment="1">
      <alignment/>
    </xf>
    <xf numFmtId="49" fontId="0" fillId="33" borderId="38" xfId="0" applyNumberFormat="1" applyFont="1" applyFill="1" applyBorder="1" applyAlignment="1" applyProtection="1">
      <alignment horizontal="left"/>
      <protection/>
    </xf>
    <xf numFmtId="49" fontId="4" fillId="33" borderId="38" xfId="0" applyNumberFormat="1" applyFont="1" applyFill="1" applyBorder="1" applyAlignment="1">
      <alignment/>
    </xf>
    <xf numFmtId="49" fontId="0" fillId="33" borderId="40" xfId="0" applyNumberFormat="1" applyFont="1" applyFill="1" applyBorder="1" applyAlignment="1">
      <alignment/>
    </xf>
    <xf numFmtId="0" fontId="1" fillId="33" borderId="62" xfId="0" applyFont="1" applyFill="1" applyBorder="1" applyAlignment="1" quotePrefix="1">
      <alignment horizontal="center" vertical="center"/>
    </xf>
    <xf numFmtId="2" fontId="0" fillId="33" borderId="66" xfId="0" applyNumberFormat="1" applyFill="1" applyBorder="1" applyAlignment="1">
      <alignment horizontal="center" vertical="center"/>
    </xf>
    <xf numFmtId="2" fontId="0" fillId="33" borderId="33" xfId="0" applyNumberForma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2" fontId="8" fillId="33" borderId="30" xfId="0" applyNumberFormat="1" applyFont="1" applyFill="1" applyBorder="1" applyAlignment="1">
      <alignment horizontal="center" vertical="center"/>
    </xf>
    <xf numFmtId="2" fontId="8" fillId="33" borderId="33" xfId="0" applyNumberFormat="1" applyFont="1" applyFill="1" applyBorder="1" applyAlignment="1">
      <alignment horizontal="center" vertical="center"/>
    </xf>
    <xf numFmtId="0" fontId="0" fillId="33" borderId="50" xfId="0" applyFill="1" applyBorder="1" applyAlignment="1">
      <alignment/>
    </xf>
    <xf numFmtId="2" fontId="10" fillId="33" borderId="63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0" fillId="0" borderId="42" xfId="0" applyFill="1" applyBorder="1" applyAlignment="1">
      <alignment/>
    </xf>
    <xf numFmtId="0" fontId="0" fillId="34" borderId="56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2" xfId="0" applyFill="1" applyBorder="1" applyAlignment="1">
      <alignment vertical="center"/>
    </xf>
    <xf numFmtId="0" fontId="1" fillId="34" borderId="44" xfId="0" applyFont="1" applyFill="1" applyBorder="1" applyAlignment="1">
      <alignment horizontal="right" vertical="center"/>
    </xf>
    <xf numFmtId="0" fontId="0" fillId="34" borderId="27" xfId="0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0" fillId="34" borderId="34" xfId="0" applyFill="1" applyBorder="1" applyAlignment="1" quotePrefix="1">
      <alignment horizontal="left" vertical="center"/>
    </xf>
    <xf numFmtId="197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57" xfId="0" applyFill="1" applyBorder="1" applyAlignment="1">
      <alignment horizontal="left" vertical="center"/>
    </xf>
    <xf numFmtId="0" fontId="0" fillId="34" borderId="2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58" xfId="0" applyFill="1" applyBorder="1" applyAlignment="1">
      <alignment vertical="center"/>
    </xf>
    <xf numFmtId="0" fontId="0" fillId="34" borderId="59" xfId="0" applyFill="1" applyBorder="1" applyAlignment="1">
      <alignment vertical="center"/>
    </xf>
    <xf numFmtId="0" fontId="0" fillId="34" borderId="54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40" xfId="0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0" fontId="0" fillId="34" borderId="56" xfId="0" applyFill="1" applyBorder="1" applyAlignment="1">
      <alignment horizontal="left" vertical="center"/>
    </xf>
    <xf numFmtId="0" fontId="0" fillId="34" borderId="0" xfId="0" applyFill="1" applyBorder="1" applyAlignment="1">
      <alignment horizontal="right" vertical="center"/>
    </xf>
    <xf numFmtId="0" fontId="0" fillId="34" borderId="23" xfId="0" applyFill="1" applyBorder="1" applyAlignment="1">
      <alignment horizontal="right" vertical="center"/>
    </xf>
    <xf numFmtId="0" fontId="0" fillId="34" borderId="27" xfId="0" applyFill="1" applyBorder="1" applyAlignment="1">
      <alignment vertical="center"/>
    </xf>
    <xf numFmtId="0" fontId="0" fillId="34" borderId="54" xfId="0" applyFill="1" applyBorder="1" applyAlignment="1">
      <alignment vertical="center"/>
    </xf>
    <xf numFmtId="2" fontId="4" fillId="34" borderId="0" xfId="0" applyNumberFormat="1" applyFont="1" applyFill="1" applyBorder="1" applyAlignment="1">
      <alignment horizontal="center" vertical="center"/>
    </xf>
    <xf numFmtId="0" fontId="0" fillId="34" borderId="56" xfId="0" applyFill="1" applyBorder="1" applyAlignment="1">
      <alignment horizontal="right"/>
    </xf>
    <xf numFmtId="0" fontId="0" fillId="34" borderId="0" xfId="0" applyFill="1" applyBorder="1" applyAlignment="1">
      <alignment horizontal="center" vertical="center"/>
    </xf>
    <xf numFmtId="0" fontId="0" fillId="34" borderId="54" xfId="0" applyFill="1" applyBorder="1" applyAlignment="1">
      <alignment horizontal="right"/>
    </xf>
    <xf numFmtId="0" fontId="0" fillId="34" borderId="0" xfId="0" applyFill="1" applyBorder="1" applyAlignment="1">
      <alignment horizontal="left" vertical="center"/>
    </xf>
    <xf numFmtId="197" fontId="0" fillId="34" borderId="62" xfId="0" applyNumberFormat="1" applyFill="1" applyBorder="1" applyAlignment="1">
      <alignment horizontal="center" vertical="center"/>
    </xf>
    <xf numFmtId="9" fontId="0" fillId="34" borderId="60" xfId="0" applyNumberFormat="1" applyFill="1" applyBorder="1" applyAlignment="1">
      <alignment horizontal="center" vertical="center"/>
    </xf>
    <xf numFmtId="9" fontId="0" fillId="34" borderId="61" xfId="0" applyNumberFormat="1" applyFill="1" applyBorder="1" applyAlignment="1">
      <alignment horizontal="center" vertical="center"/>
    </xf>
    <xf numFmtId="2" fontId="0" fillId="34" borderId="66" xfId="0" applyNumberFormat="1" applyFill="1" applyBorder="1" applyAlignment="1">
      <alignment horizontal="center" vertical="center"/>
    </xf>
    <xf numFmtId="2" fontId="0" fillId="34" borderId="33" xfId="0" applyNumberFormat="1" applyFill="1" applyBorder="1" applyAlignment="1">
      <alignment horizontal="center" vertical="center"/>
    </xf>
    <xf numFmtId="0" fontId="0" fillId="34" borderId="50" xfId="0" applyFill="1" applyBorder="1" applyAlignment="1">
      <alignment/>
    </xf>
    <xf numFmtId="0" fontId="0" fillId="34" borderId="27" xfId="0" applyFill="1" applyBorder="1" applyAlignment="1">
      <alignment horizontal="right" vertical="center"/>
    </xf>
    <xf numFmtId="2" fontId="13" fillId="34" borderId="29" xfId="0" applyNumberFormat="1" applyFont="1" applyFill="1" applyBorder="1" applyAlignment="1">
      <alignment horizontal="center" vertical="center"/>
    </xf>
    <xf numFmtId="2" fontId="0" fillId="34" borderId="29" xfId="0" applyNumberFormat="1" applyFill="1" applyBorder="1" applyAlignment="1">
      <alignment horizontal="center" vertical="center"/>
    </xf>
    <xf numFmtId="2" fontId="8" fillId="34" borderId="21" xfId="0" applyNumberFormat="1" applyFont="1" applyFill="1" applyBorder="1" applyAlignment="1">
      <alignment horizontal="center" vertical="center"/>
    </xf>
    <xf numFmtId="0" fontId="0" fillId="34" borderId="27" xfId="0" applyFill="1" applyBorder="1" applyAlignment="1" quotePrefix="1">
      <alignment horizontal="right" vertical="center"/>
    </xf>
    <xf numFmtId="2" fontId="8" fillId="34" borderId="30" xfId="0" applyNumberFormat="1" applyFont="1" applyFill="1" applyBorder="1" applyAlignment="1">
      <alignment horizontal="center" vertical="center"/>
    </xf>
    <xf numFmtId="0" fontId="0" fillId="34" borderId="54" xfId="0" applyFill="1" applyBorder="1" applyAlignment="1">
      <alignment horizontal="right" vertical="center"/>
    </xf>
    <xf numFmtId="2" fontId="13" fillId="34" borderId="32" xfId="0" applyNumberFormat="1" applyFont="1" applyFill="1" applyBorder="1" applyAlignment="1">
      <alignment horizontal="center" vertical="center"/>
    </xf>
    <xf numFmtId="2" fontId="0" fillId="34" borderId="32" xfId="0" applyNumberFormat="1" applyFill="1" applyBorder="1" applyAlignment="1">
      <alignment horizontal="center" vertical="center"/>
    </xf>
    <xf numFmtId="2" fontId="8" fillId="34" borderId="33" xfId="0" applyNumberFormat="1" applyFont="1" applyFill="1" applyBorder="1" applyAlignment="1">
      <alignment horizontal="center" vertical="center"/>
    </xf>
    <xf numFmtId="2" fontId="0" fillId="34" borderId="0" xfId="0" applyNumberFormat="1" applyFill="1" applyBorder="1" applyAlignment="1">
      <alignment vertical="center"/>
    </xf>
    <xf numFmtId="0" fontId="0" fillId="34" borderId="56" xfId="0" applyFont="1" applyFill="1" applyBorder="1" applyAlignment="1">
      <alignment horizontal="right"/>
    </xf>
    <xf numFmtId="49" fontId="0" fillId="34" borderId="42" xfId="0" applyNumberFormat="1" applyFont="1" applyFill="1" applyBorder="1" applyAlignment="1">
      <alignment/>
    </xf>
    <xf numFmtId="49" fontId="4" fillId="34" borderId="42" xfId="0" applyNumberFormat="1" applyFont="1" applyFill="1" applyBorder="1" applyAlignment="1" applyProtection="1">
      <alignment horizontal="left"/>
      <protection/>
    </xf>
    <xf numFmtId="49" fontId="0" fillId="34" borderId="44" xfId="0" applyNumberFormat="1" applyFont="1" applyFill="1" applyBorder="1" applyAlignment="1">
      <alignment/>
    </xf>
    <xf numFmtId="0" fontId="0" fillId="34" borderId="27" xfId="0" applyFont="1" applyFill="1" applyBorder="1" applyAlignment="1">
      <alignment horizontal="right"/>
    </xf>
    <xf numFmtId="0" fontId="0" fillId="34" borderId="27" xfId="0" applyFont="1" applyFill="1" applyBorder="1" applyAlignment="1">
      <alignment/>
    </xf>
    <xf numFmtId="0" fontId="0" fillId="34" borderId="54" xfId="0" applyFont="1" applyFill="1" applyBorder="1" applyAlignment="1" applyProtection="1">
      <alignment horizontal="left"/>
      <protection/>
    </xf>
    <xf numFmtId="0" fontId="0" fillId="34" borderId="38" xfId="0" applyFill="1" applyBorder="1" applyAlignment="1">
      <alignment vertical="center"/>
    </xf>
    <xf numFmtId="0" fontId="0" fillId="34" borderId="40" xfId="0" applyFill="1" applyBorder="1" applyAlignment="1">
      <alignment vertical="center"/>
    </xf>
    <xf numFmtId="0" fontId="0" fillId="0" borderId="54" xfId="0" applyFill="1" applyBorder="1" applyAlignment="1">
      <alignment/>
    </xf>
    <xf numFmtId="0" fontId="0" fillId="0" borderId="38" xfId="0" applyFill="1" applyBorder="1" applyAlignment="1">
      <alignment/>
    </xf>
    <xf numFmtId="1" fontId="0" fillId="0" borderId="63" xfId="0" applyNumberFormat="1" applyFill="1" applyBorder="1" applyAlignment="1">
      <alignment horizontal="center" vertical="center"/>
    </xf>
    <xf numFmtId="0" fontId="0" fillId="35" borderId="27" xfId="0" applyFill="1" applyBorder="1" applyAlignment="1" quotePrefix="1">
      <alignment horizontal="left" vertical="center"/>
    </xf>
    <xf numFmtId="0" fontId="0" fillId="35" borderId="19" xfId="0" applyFill="1" applyBorder="1" applyAlignment="1" quotePrefix="1">
      <alignment horizontal="left" vertical="center"/>
    </xf>
    <xf numFmtId="0" fontId="0" fillId="35" borderId="0" xfId="0" applyFill="1" applyAlignment="1">
      <alignment vertical="center"/>
    </xf>
    <xf numFmtId="0" fontId="0" fillId="35" borderId="56" xfId="0" applyFill="1" applyBorder="1" applyAlignment="1">
      <alignment vertical="center"/>
    </xf>
    <xf numFmtId="0" fontId="0" fillId="35" borderId="43" xfId="0" applyFill="1" applyBorder="1" applyAlignment="1">
      <alignment horizontal="center" vertical="center"/>
    </xf>
    <xf numFmtId="0" fontId="0" fillId="35" borderId="22" xfId="0" applyFill="1" applyBorder="1" applyAlignment="1" quotePrefix="1">
      <alignment horizontal="center" vertical="center"/>
    </xf>
    <xf numFmtId="0" fontId="0" fillId="35" borderId="20" xfId="0" applyFill="1" applyBorder="1" applyAlignment="1" quotePrefix="1">
      <alignment horizontal="center" vertical="center"/>
    </xf>
    <xf numFmtId="0" fontId="0" fillId="35" borderId="22" xfId="0" applyFill="1" applyBorder="1" applyAlignment="1">
      <alignment vertical="center"/>
    </xf>
    <xf numFmtId="0" fontId="0" fillId="35" borderId="54" xfId="0" applyFill="1" applyBorder="1" applyAlignment="1" quotePrefix="1">
      <alignment horizontal="left" vertical="center"/>
    </xf>
    <xf numFmtId="0" fontId="0" fillId="35" borderId="48" xfId="0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67" xfId="0" applyFont="1" applyFill="1" applyBorder="1" applyAlignment="1">
      <alignment horizontal="center" vertical="center"/>
    </xf>
    <xf numFmtId="2" fontId="0" fillId="36" borderId="67" xfId="0" applyNumberFormat="1" applyFont="1" applyFill="1" applyBorder="1" applyAlignment="1">
      <alignment horizontal="center" vertical="center"/>
    </xf>
    <xf numFmtId="2" fontId="0" fillId="36" borderId="68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44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2" fontId="0" fillId="36" borderId="23" xfId="0" applyNumberFormat="1" applyFont="1" applyFill="1" applyBorder="1" applyAlignment="1">
      <alignment horizontal="center" vertical="center"/>
    </xf>
    <xf numFmtId="2" fontId="0" fillId="36" borderId="12" xfId="0" applyNumberFormat="1" applyFont="1" applyFill="1" applyBorder="1" applyAlignment="1">
      <alignment horizontal="center" vertical="center"/>
    </xf>
    <xf numFmtId="2" fontId="0" fillId="36" borderId="55" xfId="0" applyNumberFormat="1" applyFont="1" applyFill="1" applyBorder="1" applyAlignment="1">
      <alignment horizontal="center" vertical="center"/>
    </xf>
    <xf numFmtId="0" fontId="0" fillId="36" borderId="29" xfId="0" applyNumberFormat="1" applyFill="1" applyBorder="1" applyAlignment="1">
      <alignment horizontal="center" vertical="center"/>
    </xf>
    <xf numFmtId="0" fontId="0" fillId="37" borderId="56" xfId="0" applyFill="1" applyBorder="1" applyAlignment="1" quotePrefix="1">
      <alignment horizontal="left" vertical="center"/>
    </xf>
    <xf numFmtId="0" fontId="0" fillId="37" borderId="26" xfId="0" applyFill="1" applyBorder="1" applyAlignment="1" quotePrefix="1">
      <alignment horizontal="left" vertical="center"/>
    </xf>
    <xf numFmtId="0" fontId="0" fillId="37" borderId="27" xfId="0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28" xfId="0" applyFill="1" applyBorder="1" applyAlignment="1" quotePrefix="1">
      <alignment horizontal="left" vertical="center"/>
    </xf>
    <xf numFmtId="0" fontId="0" fillId="37" borderId="26" xfId="0" applyFill="1" applyBorder="1" applyAlignment="1">
      <alignment horizontal="left" vertical="center"/>
    </xf>
    <xf numFmtId="0" fontId="0" fillId="37" borderId="69" xfId="0" applyFill="1" applyBorder="1" applyAlignment="1">
      <alignment horizontal="left" vertical="center"/>
    </xf>
    <xf numFmtId="0" fontId="0" fillId="37" borderId="70" xfId="0" applyFill="1" applyBorder="1" applyAlignment="1">
      <alignment horizontal="left" vertical="center"/>
    </xf>
    <xf numFmtId="0" fontId="0" fillId="37" borderId="0" xfId="0" applyFill="1" applyBorder="1" applyAlignment="1">
      <alignment vertical="center"/>
    </xf>
    <xf numFmtId="0" fontId="0" fillId="37" borderId="41" xfId="0" applyFill="1" applyBorder="1" applyAlignment="1">
      <alignment vertical="center"/>
    </xf>
    <xf numFmtId="0" fontId="0" fillId="37" borderId="13" xfId="0" applyFill="1" applyBorder="1" applyAlignment="1" quotePrefix="1">
      <alignment horizontal="left" vertical="center"/>
    </xf>
    <xf numFmtId="0" fontId="0" fillId="37" borderId="13" xfId="0" applyFill="1" applyBorder="1" applyAlignment="1">
      <alignment vertical="center"/>
    </xf>
    <xf numFmtId="0" fontId="0" fillId="37" borderId="14" xfId="0" applyFill="1" applyBorder="1" applyAlignment="1" quotePrefix="1">
      <alignment horizontal="left" vertical="center"/>
    </xf>
    <xf numFmtId="0" fontId="0" fillId="37" borderId="71" xfId="0" applyFill="1" applyBorder="1" applyAlignment="1" quotePrefix="1">
      <alignment horizontal="left" vertical="center"/>
    </xf>
    <xf numFmtId="0" fontId="0" fillId="38" borderId="72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horizontal="center" vertical="center"/>
    </xf>
    <xf numFmtId="1" fontId="0" fillId="38" borderId="15" xfId="0" applyNumberFormat="1" applyFont="1" applyFill="1" applyBorder="1" applyAlignment="1">
      <alignment horizontal="center" vertical="center"/>
    </xf>
    <xf numFmtId="2" fontId="0" fillId="38" borderId="15" xfId="0" applyNumberFormat="1" applyFont="1" applyFill="1" applyBorder="1" applyAlignment="1">
      <alignment horizontal="center" vertical="center"/>
    </xf>
    <xf numFmtId="0" fontId="0" fillId="38" borderId="43" xfId="0" applyFont="1" applyFill="1" applyBorder="1" applyAlignment="1">
      <alignment horizontal="center" vertical="center"/>
    </xf>
    <xf numFmtId="0" fontId="0" fillId="38" borderId="42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8" borderId="18" xfId="0" applyFont="1" applyFill="1" applyBorder="1" applyAlignment="1">
      <alignment horizontal="center" vertical="center"/>
    </xf>
    <xf numFmtId="0" fontId="0" fillId="38" borderId="29" xfId="0" applyFont="1" applyFill="1" applyBorder="1" applyAlignment="1">
      <alignment horizontal="center" vertical="center"/>
    </xf>
    <xf numFmtId="0" fontId="0" fillId="38" borderId="46" xfId="0" applyFont="1" applyFill="1" applyBorder="1" applyAlignment="1">
      <alignment horizontal="center" vertical="center"/>
    </xf>
    <xf numFmtId="0" fontId="0" fillId="38" borderId="67" xfId="0" applyFont="1" applyFill="1" applyBorder="1" applyAlignment="1">
      <alignment horizontal="center" vertical="center"/>
    </xf>
    <xf numFmtId="0" fontId="0" fillId="38" borderId="24" xfId="0" applyFont="1" applyFill="1" applyBorder="1" applyAlignment="1">
      <alignment horizontal="center" vertical="center"/>
    </xf>
    <xf numFmtId="0" fontId="0" fillId="38" borderId="36" xfId="0" applyFont="1" applyFill="1" applyBorder="1" applyAlignment="1">
      <alignment horizontal="center" vertical="center"/>
    </xf>
    <xf numFmtId="2" fontId="0" fillId="38" borderId="50" xfId="0" applyNumberFormat="1" applyFont="1" applyFill="1" applyBorder="1" applyAlignment="1">
      <alignment horizontal="center" vertical="center"/>
    </xf>
    <xf numFmtId="2" fontId="0" fillId="38" borderId="52" xfId="0" applyNumberFormat="1" applyFont="1" applyFill="1" applyBorder="1" applyAlignment="1">
      <alignment horizontal="center" vertical="center"/>
    </xf>
    <xf numFmtId="2" fontId="0" fillId="38" borderId="32" xfId="0" applyNumberFormat="1" applyFont="1" applyFill="1" applyBorder="1" applyAlignment="1">
      <alignment horizontal="center" vertical="center"/>
    </xf>
    <xf numFmtId="2" fontId="0" fillId="38" borderId="68" xfId="0" applyNumberFormat="1" applyFont="1" applyFill="1" applyBorder="1" applyAlignment="1">
      <alignment horizontal="center" vertical="center"/>
    </xf>
    <xf numFmtId="0" fontId="0" fillId="39" borderId="41" xfId="0" applyFont="1" applyFill="1" applyBorder="1" applyAlignment="1" quotePrefix="1">
      <alignment horizontal="left" vertical="center"/>
    </xf>
    <xf numFmtId="0" fontId="0" fillId="39" borderId="43" xfId="0" applyFont="1" applyFill="1" applyBorder="1" applyAlignment="1">
      <alignment horizontal="center" vertical="center"/>
    </xf>
    <xf numFmtId="0" fontId="0" fillId="39" borderId="10" xfId="0" applyFont="1" applyFill="1" applyBorder="1" applyAlignment="1" quotePrefix="1">
      <alignment horizontal="left" vertical="center"/>
    </xf>
    <xf numFmtId="0" fontId="0" fillId="39" borderId="13" xfId="0" applyFont="1" applyFill="1" applyBorder="1" applyAlignment="1">
      <alignment vertical="center"/>
    </xf>
    <xf numFmtId="0" fontId="0" fillId="39" borderId="16" xfId="0" applyFont="1" applyFill="1" applyBorder="1" applyAlignment="1">
      <alignment vertical="center"/>
    </xf>
    <xf numFmtId="0" fontId="0" fillId="39" borderId="73" xfId="0" applyFont="1" applyFill="1" applyBorder="1" applyAlignment="1" quotePrefix="1">
      <alignment horizontal="left" vertical="center"/>
    </xf>
    <xf numFmtId="0" fontId="0" fillId="39" borderId="70" xfId="0" applyFont="1" applyFill="1" applyBorder="1" applyAlignment="1">
      <alignment horizontal="left" vertical="center"/>
    </xf>
    <xf numFmtId="0" fontId="0" fillId="39" borderId="16" xfId="0" applyFont="1" applyFill="1" applyBorder="1" applyAlignment="1">
      <alignment horizontal="left" vertical="center"/>
    </xf>
    <xf numFmtId="0" fontId="0" fillId="39" borderId="0" xfId="0" applyFont="1" applyFill="1" applyAlignment="1">
      <alignment vertical="center"/>
    </xf>
    <xf numFmtId="0" fontId="0" fillId="39" borderId="0" xfId="0" applyFont="1" applyFill="1" applyAlignment="1">
      <alignment horizontal="center" vertical="center"/>
    </xf>
    <xf numFmtId="0" fontId="0" fillId="39" borderId="22" xfId="0" applyFont="1" applyFill="1" applyBorder="1" applyAlignment="1" quotePrefix="1">
      <alignment horizontal="center" vertical="center"/>
    </xf>
    <xf numFmtId="0" fontId="0" fillId="39" borderId="20" xfId="0" applyFont="1" applyFill="1" applyBorder="1" applyAlignment="1" quotePrefix="1">
      <alignment horizontal="center" vertical="center"/>
    </xf>
    <xf numFmtId="0" fontId="0" fillId="39" borderId="24" xfId="0" applyFont="1" applyFill="1" applyBorder="1" applyAlignment="1">
      <alignment horizontal="center" vertical="center"/>
    </xf>
    <xf numFmtId="0" fontId="0" fillId="39" borderId="48" xfId="0" applyFont="1" applyFill="1" applyBorder="1" applyAlignment="1">
      <alignment horizontal="center" vertical="center"/>
    </xf>
    <xf numFmtId="0" fontId="0" fillId="40" borderId="43" xfId="0" applyFont="1" applyFill="1" applyBorder="1" applyAlignment="1">
      <alignment horizontal="center" vertical="center"/>
    </xf>
    <xf numFmtId="0" fontId="0" fillId="40" borderId="42" xfId="0" applyFont="1" applyFill="1" applyBorder="1" applyAlignment="1">
      <alignment horizontal="center" vertical="center"/>
    </xf>
    <xf numFmtId="0" fontId="0" fillId="40" borderId="72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0" borderId="14" xfId="0" applyFont="1" applyFill="1" applyBorder="1" applyAlignment="1">
      <alignment horizontal="center" vertical="center"/>
    </xf>
    <xf numFmtId="0" fontId="0" fillId="40" borderId="15" xfId="0" applyFont="1" applyFill="1" applyBorder="1" applyAlignment="1">
      <alignment horizontal="center" vertical="center"/>
    </xf>
    <xf numFmtId="0" fontId="0" fillId="40" borderId="17" xfId="0" applyFont="1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0" fontId="0" fillId="40" borderId="29" xfId="0" applyFont="1" applyFill="1" applyBorder="1" applyAlignment="1">
      <alignment horizontal="center" vertical="center"/>
    </xf>
    <xf numFmtId="0" fontId="0" fillId="40" borderId="46" xfId="0" applyFont="1" applyFill="1" applyBorder="1" applyAlignment="1">
      <alignment horizontal="center" vertical="center"/>
    </xf>
    <xf numFmtId="0" fontId="0" fillId="40" borderId="67" xfId="0" applyFont="1" applyFill="1" applyBorder="1" applyAlignment="1">
      <alignment horizontal="center" vertical="center"/>
    </xf>
    <xf numFmtId="0" fontId="0" fillId="40" borderId="32" xfId="0" applyFont="1" applyFill="1" applyBorder="1" applyAlignment="1">
      <alignment horizontal="center" vertical="center"/>
    </xf>
    <xf numFmtId="0" fontId="0" fillId="40" borderId="74" xfId="0" applyFont="1" applyFill="1" applyBorder="1" applyAlignment="1">
      <alignment horizontal="center" vertical="center"/>
    </xf>
    <xf numFmtId="0" fontId="0" fillId="40" borderId="68" xfId="0" applyFont="1" applyFill="1" applyBorder="1" applyAlignment="1">
      <alignment horizontal="center" vertical="center"/>
    </xf>
    <xf numFmtId="2" fontId="0" fillId="40" borderId="20" xfId="0" applyNumberFormat="1" applyFont="1" applyFill="1" applyBorder="1" applyAlignment="1">
      <alignment horizontal="center" vertical="center"/>
    </xf>
    <xf numFmtId="2" fontId="0" fillId="40" borderId="18" xfId="0" applyNumberFormat="1" applyFont="1" applyFill="1" applyBorder="1" applyAlignment="1">
      <alignment horizontal="center" vertical="center"/>
    </xf>
    <xf numFmtId="2" fontId="0" fillId="40" borderId="32" xfId="0" applyNumberFormat="1" applyFont="1" applyFill="1" applyBorder="1" applyAlignment="1">
      <alignment horizontal="center" vertical="center"/>
    </xf>
    <xf numFmtId="2" fontId="0" fillId="40" borderId="68" xfId="0" applyNumberFormat="1" applyFont="1" applyFill="1" applyBorder="1" applyAlignment="1">
      <alignment horizontal="center" vertical="center"/>
    </xf>
    <xf numFmtId="0" fontId="0" fillId="40" borderId="44" xfId="0" applyFont="1" applyFill="1" applyBorder="1" applyAlignment="1">
      <alignment horizontal="center" vertical="center"/>
    </xf>
    <xf numFmtId="0" fontId="0" fillId="40" borderId="23" xfId="0" applyFont="1" applyFill="1" applyBorder="1" applyAlignment="1">
      <alignment horizontal="center" vertical="center"/>
    </xf>
    <xf numFmtId="2" fontId="0" fillId="40" borderId="23" xfId="0" applyNumberFormat="1" applyFont="1" applyFill="1" applyBorder="1" applyAlignment="1">
      <alignment horizontal="center" vertical="center"/>
    </xf>
    <xf numFmtId="2" fontId="0" fillId="40" borderId="21" xfId="0" applyNumberFormat="1" applyFont="1" applyFill="1" applyBorder="1" applyAlignment="1">
      <alignment horizontal="center" vertical="center"/>
    </xf>
    <xf numFmtId="2" fontId="0" fillId="40" borderId="25" xfId="0" applyNumberFormat="1" applyFont="1" applyFill="1" applyBorder="1" applyAlignment="1">
      <alignment horizontal="center" vertical="center"/>
    </xf>
    <xf numFmtId="2" fontId="0" fillId="40" borderId="40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42" xfId="0" applyBorder="1" applyAlignment="1">
      <alignment/>
    </xf>
    <xf numFmtId="0" fontId="11" fillId="41" borderId="62" xfId="0" applyFont="1" applyFill="1" applyBorder="1" applyAlignment="1" quotePrefix="1">
      <alignment horizontal="center" vertical="center"/>
    </xf>
    <xf numFmtId="2" fontId="12" fillId="41" borderId="6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0" xfId="0" applyBorder="1" applyAlignment="1">
      <alignment/>
    </xf>
    <xf numFmtId="0" fontId="5" fillId="39" borderId="34" xfId="0" applyFont="1" applyFill="1" applyBorder="1" applyAlignment="1">
      <alignment horizontal="center" vertical="center"/>
    </xf>
    <xf numFmtId="0" fontId="5" fillId="39" borderId="42" xfId="0" applyFont="1" applyFill="1" applyBorder="1" applyAlignment="1">
      <alignment horizontal="center" vertical="center"/>
    </xf>
    <xf numFmtId="0" fontId="5" fillId="39" borderId="44" xfId="0" applyFont="1" applyFill="1" applyBorder="1" applyAlignment="1">
      <alignment horizontal="center" vertical="center"/>
    </xf>
    <xf numFmtId="0" fontId="5" fillId="35" borderId="34" xfId="0" applyFont="1" applyFill="1" applyBorder="1" applyAlignment="1" quotePrefix="1">
      <alignment horizontal="center" vertical="center"/>
    </xf>
    <xf numFmtId="0" fontId="5" fillId="35" borderId="64" xfId="0" applyFont="1" applyFill="1" applyBorder="1" applyAlignment="1">
      <alignment horizontal="center" vertical="center"/>
    </xf>
    <xf numFmtId="0" fontId="5" fillId="35" borderId="65" xfId="0" applyFont="1" applyFill="1" applyBorder="1" applyAlignment="1">
      <alignment horizontal="center" vertical="center"/>
    </xf>
    <xf numFmtId="0" fontId="5" fillId="37" borderId="56" xfId="0" applyFont="1" applyFill="1" applyBorder="1" applyAlignment="1" quotePrefix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5" fillId="37" borderId="44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5" fillId="42" borderId="34" xfId="0" applyFont="1" applyFill="1" applyBorder="1" applyAlignment="1">
      <alignment horizontal="center" vertical="center"/>
    </xf>
    <xf numFmtId="0" fontId="5" fillId="42" borderId="42" xfId="0" applyFont="1" applyFill="1" applyBorder="1" applyAlignment="1">
      <alignment horizontal="center" vertical="center"/>
    </xf>
    <xf numFmtId="0" fontId="5" fillId="42" borderId="44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4" xfId="0" applyBorder="1" applyAlignment="1">
      <alignment/>
    </xf>
    <xf numFmtId="0" fontId="0" fillId="35" borderId="28" xfId="0" applyFill="1" applyBorder="1" applyAlignment="1">
      <alignment horizontal="left" vertical="center"/>
    </xf>
    <xf numFmtId="0" fontId="0" fillId="35" borderId="53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35" borderId="66" xfId="0" applyFill="1" applyBorder="1" applyAlignment="1">
      <alignment horizontal="left" vertical="center"/>
    </xf>
    <xf numFmtId="0" fontId="0" fillId="35" borderId="26" xfId="0" applyFill="1" applyBorder="1" applyAlignment="1" quotePrefix="1">
      <alignment horizontal="left" vertical="center"/>
    </xf>
    <xf numFmtId="0" fontId="0" fillId="35" borderId="75" xfId="0" applyFill="1" applyBorder="1" applyAlignment="1" quotePrefix="1">
      <alignment horizontal="left" vertical="center"/>
    </xf>
    <xf numFmtId="0" fontId="0" fillId="35" borderId="27" xfId="0" applyFill="1" applyBorder="1" applyAlignment="1" quotePrefix="1">
      <alignment horizontal="left" vertical="center"/>
    </xf>
    <xf numFmtId="0" fontId="0" fillId="35" borderId="47" xfId="0" applyFill="1" applyBorder="1" applyAlignment="1" quotePrefix="1">
      <alignment horizontal="left" vertical="center"/>
    </xf>
    <xf numFmtId="0" fontId="0" fillId="35" borderId="19" xfId="0" applyFill="1" applyBorder="1" applyAlignment="1" quotePrefix="1">
      <alignment horizontal="left" vertical="center"/>
    </xf>
    <xf numFmtId="0" fontId="0" fillId="35" borderId="45" xfId="0" applyFill="1" applyBorder="1" applyAlignment="1" quotePrefix="1">
      <alignment horizontal="left" vertical="center"/>
    </xf>
    <xf numFmtId="0" fontId="5" fillId="35" borderId="34" xfId="0" applyFont="1" applyFill="1" applyBorder="1" applyAlignment="1">
      <alignment horizontal="center" vertical="center"/>
    </xf>
    <xf numFmtId="0" fontId="0" fillId="35" borderId="28" xfId="0" applyFill="1" applyBorder="1" applyAlignment="1" quotePrefix="1">
      <alignment horizontal="left" vertical="center"/>
    </xf>
    <xf numFmtId="0" fontId="0" fillId="35" borderId="53" xfId="0" applyFill="1" applyBorder="1" applyAlignment="1" quotePrefix="1">
      <alignment horizontal="left" vertical="center"/>
    </xf>
    <xf numFmtId="0" fontId="0" fillId="35" borderId="76" xfId="0" applyFill="1" applyBorder="1" applyAlignment="1">
      <alignment horizontal="left" vertical="center"/>
    </xf>
    <xf numFmtId="0" fontId="0" fillId="35" borderId="46" xfId="0" applyFill="1" applyBorder="1" applyAlignment="1">
      <alignment horizontal="left" vertical="center"/>
    </xf>
    <xf numFmtId="0" fontId="5" fillId="37" borderId="34" xfId="0" applyFont="1" applyFill="1" applyBorder="1" applyAlignment="1">
      <alignment horizontal="center" vertical="center"/>
    </xf>
    <xf numFmtId="0" fontId="5" fillId="37" borderId="64" xfId="0" applyFont="1" applyFill="1" applyBorder="1" applyAlignment="1">
      <alignment horizontal="center" vertical="center"/>
    </xf>
    <xf numFmtId="0" fontId="5" fillId="37" borderId="65" xfId="0" applyFont="1" applyFill="1" applyBorder="1" applyAlignment="1">
      <alignment horizontal="center" vertical="center"/>
    </xf>
    <xf numFmtId="0" fontId="0" fillId="39" borderId="27" xfId="0" applyFont="1" applyFill="1" applyBorder="1" applyAlignment="1">
      <alignment horizontal="left" vertical="center"/>
    </xf>
    <xf numFmtId="0" fontId="0" fillId="39" borderId="0" xfId="0" applyFont="1" applyFill="1" applyBorder="1" applyAlignment="1">
      <alignment horizontal="left" vertical="center"/>
    </xf>
    <xf numFmtId="0" fontId="0" fillId="39" borderId="47" xfId="0" applyFont="1" applyFill="1" applyBorder="1" applyAlignment="1">
      <alignment horizontal="left" vertical="center"/>
    </xf>
    <xf numFmtId="0" fontId="0" fillId="39" borderId="26" xfId="0" applyFont="1" applyFill="1" applyBorder="1" applyAlignment="1" quotePrefix="1">
      <alignment horizontal="left" vertical="center"/>
    </xf>
    <xf numFmtId="0" fontId="0" fillId="39" borderId="36" xfId="0" applyFont="1" applyFill="1" applyBorder="1" applyAlignment="1" quotePrefix="1">
      <alignment horizontal="left" vertical="center"/>
    </xf>
    <xf numFmtId="0" fontId="0" fillId="39" borderId="75" xfId="0" applyFont="1" applyFill="1" applyBorder="1" applyAlignment="1" quotePrefix="1">
      <alignment horizontal="left" vertical="center"/>
    </xf>
    <xf numFmtId="0" fontId="0" fillId="39" borderId="54" xfId="0" applyFont="1" applyFill="1" applyBorder="1" applyAlignment="1" quotePrefix="1">
      <alignment horizontal="left" vertical="center"/>
    </xf>
    <xf numFmtId="0" fontId="0" fillId="39" borderId="38" xfId="0" applyFont="1" applyFill="1" applyBorder="1" applyAlignment="1" quotePrefix="1">
      <alignment horizontal="left" vertical="center"/>
    </xf>
    <xf numFmtId="0" fontId="0" fillId="39" borderId="77" xfId="0" applyFont="1" applyFill="1" applyBorder="1" applyAlignment="1" quotePrefix="1">
      <alignment horizontal="left" vertical="center"/>
    </xf>
    <xf numFmtId="0" fontId="0" fillId="39" borderId="56" xfId="0" applyFont="1" applyFill="1" applyBorder="1" applyAlignment="1" quotePrefix="1">
      <alignment horizontal="left" vertical="center"/>
    </xf>
    <xf numFmtId="0" fontId="0" fillId="39" borderId="42" xfId="0" applyFont="1" applyFill="1" applyBorder="1" applyAlignment="1" quotePrefix="1">
      <alignment horizontal="left" vertical="center"/>
    </xf>
    <xf numFmtId="0" fontId="0" fillId="39" borderId="78" xfId="0" applyFont="1" applyFill="1" applyBorder="1" applyAlignment="1" quotePrefix="1">
      <alignment horizontal="left" vertical="center"/>
    </xf>
    <xf numFmtId="0" fontId="0" fillId="39" borderId="27" xfId="0" applyFont="1" applyFill="1" applyBorder="1" applyAlignment="1" quotePrefix="1">
      <alignment horizontal="left" vertical="center"/>
    </xf>
    <xf numFmtId="0" fontId="0" fillId="39" borderId="0" xfId="0" applyFont="1" applyFill="1" applyBorder="1" applyAlignment="1" quotePrefix="1">
      <alignment horizontal="left" vertical="center"/>
    </xf>
    <xf numFmtId="0" fontId="0" fillId="39" borderId="47" xfId="0" applyFont="1" applyFill="1" applyBorder="1" applyAlignment="1" quotePrefix="1">
      <alignment horizontal="left" vertical="center"/>
    </xf>
    <xf numFmtId="0" fontId="5" fillId="39" borderId="64" xfId="0" applyFont="1" applyFill="1" applyBorder="1" applyAlignment="1">
      <alignment horizontal="center" vertical="center"/>
    </xf>
    <xf numFmtId="0" fontId="5" fillId="39" borderId="65" xfId="0" applyFont="1" applyFill="1" applyBorder="1" applyAlignment="1">
      <alignment horizontal="center" vertical="center"/>
    </xf>
    <xf numFmtId="196" fontId="0" fillId="0" borderId="79" xfId="0" applyNumberFormat="1" applyFont="1" applyFill="1" applyBorder="1" applyAlignment="1">
      <alignment horizontal="center" vertical="center"/>
    </xf>
    <xf numFmtId="196" fontId="0" fillId="0" borderId="60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199" fontId="0" fillId="0" borderId="14" xfId="0" applyNumberFormat="1" applyFont="1" applyFill="1" applyBorder="1" applyAlignment="1">
      <alignment horizontal="center" vertical="center"/>
    </xf>
    <xf numFmtId="199" fontId="0" fillId="0" borderId="0" xfId="0" applyNumberFormat="1" applyFont="1" applyFill="1" applyBorder="1" applyAlignment="1">
      <alignment horizontal="center" vertical="center"/>
    </xf>
    <xf numFmtId="199" fontId="0" fillId="0" borderId="11" xfId="0" applyNumberFormat="1" applyFont="1" applyFill="1" applyBorder="1" applyAlignment="1">
      <alignment horizontal="center" vertical="center"/>
    </xf>
    <xf numFmtId="199" fontId="0" fillId="0" borderId="75" xfId="0" applyNumberFormat="1" applyFont="1" applyFill="1" applyBorder="1" applyAlignment="1">
      <alignment horizontal="center" vertical="center"/>
    </xf>
    <xf numFmtId="196" fontId="0" fillId="0" borderId="17" xfId="0" applyNumberFormat="1" applyFont="1" applyFill="1" applyBorder="1" applyAlignment="1">
      <alignment horizontal="center" vertical="center"/>
    </xf>
    <xf numFmtId="196" fontId="0" fillId="0" borderId="45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196" fontId="0" fillId="0" borderId="81" xfId="0" applyNumberFormat="1" applyFont="1" applyFill="1" applyBorder="1" applyAlignment="1">
      <alignment horizontal="center" vertical="center"/>
    </xf>
    <xf numFmtId="196" fontId="0" fillId="0" borderId="74" xfId="0" applyNumberFormat="1" applyFont="1" applyFill="1" applyBorder="1" applyAlignment="1">
      <alignment horizontal="center" vertical="center"/>
    </xf>
    <xf numFmtId="199" fontId="0" fillId="0" borderId="17" xfId="0" applyNumberFormat="1" applyFont="1" applyFill="1" applyBorder="1" applyAlignment="1">
      <alignment horizontal="center" vertical="center"/>
    </xf>
    <xf numFmtId="199" fontId="0" fillId="0" borderId="35" xfId="0" applyNumberFormat="1" applyFont="1" applyFill="1" applyBorder="1" applyAlignment="1">
      <alignment horizontal="center" vertical="center"/>
    </xf>
    <xf numFmtId="196" fontId="0" fillId="0" borderId="35" xfId="0" applyNumberFormat="1" applyFont="1" applyFill="1" applyBorder="1" applyAlignment="1">
      <alignment horizontal="center" vertical="center"/>
    </xf>
    <xf numFmtId="197" fontId="0" fillId="0" borderId="39" xfId="0" applyNumberFormat="1" applyFont="1" applyFill="1" applyBorder="1" applyAlignment="1">
      <alignment horizontal="center" vertical="center"/>
    </xf>
    <xf numFmtId="197" fontId="0" fillId="0" borderId="38" xfId="0" applyNumberFormat="1" applyFont="1" applyFill="1" applyBorder="1" applyAlignment="1">
      <alignment horizontal="center" vertical="center"/>
    </xf>
    <xf numFmtId="197" fontId="0" fillId="0" borderId="40" xfId="0" applyNumberFormat="1" applyFont="1" applyFill="1" applyBorder="1" applyAlignment="1">
      <alignment horizontal="center" vertical="center"/>
    </xf>
    <xf numFmtId="197" fontId="0" fillId="0" borderId="11" xfId="0" applyNumberFormat="1" applyFont="1" applyFill="1" applyBorder="1" applyAlignment="1">
      <alignment horizontal="center" vertical="center"/>
    </xf>
    <xf numFmtId="197" fontId="0" fillId="0" borderId="36" xfId="0" applyNumberFormat="1" applyFont="1" applyFill="1" applyBorder="1" applyAlignment="1">
      <alignment horizontal="center" vertical="center"/>
    </xf>
    <xf numFmtId="197" fontId="0" fillId="0" borderId="25" xfId="0" applyNumberFormat="1" applyFont="1" applyFill="1" applyBorder="1" applyAlignment="1">
      <alignment horizontal="center" vertical="center"/>
    </xf>
    <xf numFmtId="199" fontId="0" fillId="0" borderId="36" xfId="0" applyNumberFormat="1" applyFont="1" applyFill="1" applyBorder="1" applyAlignment="1">
      <alignment horizontal="center" vertical="center"/>
    </xf>
    <xf numFmtId="196" fontId="0" fillId="0" borderId="0" xfId="0" applyNumberFormat="1" applyFont="1" applyFill="1" applyBorder="1" applyAlignment="1">
      <alignment horizontal="center" vertical="center"/>
    </xf>
    <xf numFmtId="196" fontId="0" fillId="0" borderId="23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3"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ont>
        <b/>
        <i val="0"/>
      </font>
      <fill>
        <patternFill>
          <bgColor indexed="1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008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Slope ratio assay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6975"/>
          <c:w val="0.9147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Calc!$C$68:$C$73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Calc!$D$68:$D$73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Calc!$C$78:$C$83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Calc!$D$78:$D$83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Calc!$C$68:$C$73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Calc!$E$68:$E$73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Calc!$C$78:$C$83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Calc!$E$78:$E$83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Calc!$D$74:$D$76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Calc!$E$74:$E$76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Calc!$C$67:$C$73</c:f>
              <c:numCache>
                <c:ptCount val="7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Calc!$H$67:$H$73</c:f>
              <c:numCache>
                <c:ptCount val="7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Calc!$C$77:$C$83</c:f>
              <c:numCache>
                <c:ptCount val="7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xVal>
          <c:yVal>
            <c:numRef>
              <c:f>Calc!$H$77:$H$83</c:f>
              <c:numCache>
                <c:ptCount val="7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Calc!$C$68:$C$73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Calc!$F$68:$F$73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Calc!$C$68:$C$73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Calc!$G$68:$G$73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Calc!$C$78:$C$83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Calc!$F$78:$F$83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Calc!$C$78:$C$83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Calc!$G$78:$G$83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Calc!$F$74:$F$76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Calc!$G$74:$G$76</c:f>
              <c:numCach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yVal>
          <c:smooth val="0"/>
        </c:ser>
        <c:axId val="7425502"/>
        <c:axId val="66829519"/>
      </c:scatterChart>
      <c:valAx>
        <c:axId val="7425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29519"/>
        <c:crosses val="autoZero"/>
        <c:crossBetween val="midCat"/>
        <c:dispUnits/>
      </c:valAx>
      <c:valAx>
        <c:axId val="66829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25502"/>
        <c:crosses val="autoZero"/>
        <c:crossBetween val="midCat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Calc!$D$74:$D$76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Calc!$E$74:$E$76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Calc!$F$74:$F$76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Calc!$G$74:$G$76</c:f>
              <c:numCache/>
            </c:numRef>
          </c:yVal>
          <c:smooth val="0"/>
        </c:ser>
        <c:axId val="64594760"/>
        <c:axId val="44481929"/>
      </c:scatterChart>
      <c:valAx>
        <c:axId val="64594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81929"/>
        <c:crosses val="autoZero"/>
        <c:crossBetween val="midCat"/>
        <c:dispUnits/>
      </c:valAx>
      <c:valAx>
        <c:axId val="4448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947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Calc!$D$74:$D$76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Calc!$E$74:$E$76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Calc!$F$74:$F$76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Calc!$G$74:$G$76</c:f>
              <c:numCache/>
            </c:numRef>
          </c:yVal>
          <c:smooth val="0"/>
        </c:ser>
        <c:axId val="64793042"/>
        <c:axId val="46266467"/>
      </c:scatterChart>
      <c:valAx>
        <c:axId val="64793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66467"/>
        <c:crosses val="autoZero"/>
        <c:crossBetween val="midCat"/>
        <c:dispUnits/>
      </c:valAx>
      <c:valAx>
        <c:axId val="46266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30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Calc!$C$68:$C$73</c:f>
              <c:numCache/>
            </c:numRef>
          </c:xVal>
          <c:yVal>
            <c:numRef>
              <c:f>Calc!$D$68:$D$73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Calc!$C$68:$C$73</c:f>
              <c:numCache/>
            </c:numRef>
          </c:xVal>
          <c:yVal>
            <c:numRef>
              <c:f>Calc!$E$68:$E$73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Calc!$D$74:$D$76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Calc!$E$74:$E$76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Calc!$C$68:$C$73</c:f>
              <c:numCache/>
            </c:numRef>
          </c:xVal>
          <c:yVal>
            <c:numRef>
              <c:f>Calc!$F$68:$F$73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Calc!$C$68:$C$73</c:f>
              <c:numCache/>
            </c:numRef>
          </c:xVal>
          <c:yVal>
            <c:numRef>
              <c:f>Calc!$G$68:$G$73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Calc!$F$74:$F$76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Calc!$C$74:$C$76</c:f>
              <c:numCache/>
            </c:numRef>
          </c:xVal>
          <c:yVal>
            <c:numRef>
              <c:f>Calc!$G$74:$G$76</c:f>
              <c:numCache/>
            </c:numRef>
          </c:yVal>
          <c:smooth val="0"/>
        </c:ser>
        <c:axId val="13745020"/>
        <c:axId val="56596317"/>
      </c:scatterChart>
      <c:valAx>
        <c:axId val="1374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6317"/>
        <c:crosses val="autoZero"/>
        <c:crossBetween val="midCat"/>
        <c:dispUnits/>
      </c:valAx>
      <c:valAx>
        <c:axId val="56596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5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0.49725</cdr:x>
      <cdr:y>0.512</cdr:y>
    </cdr:from>
    <cdr:to>
      <cdr:x>0.52575</cdr:x>
      <cdr:y>0.59225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924050" y="2000250"/>
          <a:ext cx="1143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123825</xdr:rowOff>
    </xdr:from>
    <xdr:to>
      <xdr:col>13</xdr:col>
      <xdr:colOff>1095375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5248275" y="1314450"/>
        <a:ext cx="38862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84</xdr:row>
      <xdr:rowOff>0</xdr:rowOff>
    </xdr:from>
    <xdr:to>
      <xdr:col>9</xdr:col>
      <xdr:colOff>0</xdr:colOff>
      <xdr:row>102</xdr:row>
      <xdr:rowOff>0</xdr:rowOff>
    </xdr:to>
    <xdr:graphicFrame>
      <xdr:nvGraphicFramePr>
        <xdr:cNvPr id="1" name="Chart 8"/>
        <xdr:cNvGraphicFramePr/>
      </xdr:nvGraphicFramePr>
      <xdr:xfrm>
        <a:off x="8629650" y="13906500"/>
        <a:ext cx="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84</xdr:row>
      <xdr:rowOff>0</xdr:rowOff>
    </xdr:from>
    <xdr:to>
      <xdr:col>9</xdr:col>
      <xdr:colOff>0</xdr:colOff>
      <xdr:row>102</xdr:row>
      <xdr:rowOff>0</xdr:rowOff>
    </xdr:to>
    <xdr:graphicFrame>
      <xdr:nvGraphicFramePr>
        <xdr:cNvPr id="2" name="Chart 11"/>
        <xdr:cNvGraphicFramePr/>
      </xdr:nvGraphicFramePr>
      <xdr:xfrm>
        <a:off x="8629650" y="13906500"/>
        <a:ext cx="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84</xdr:row>
      <xdr:rowOff>0</xdr:rowOff>
    </xdr:from>
    <xdr:to>
      <xdr:col>9</xdr:col>
      <xdr:colOff>0</xdr:colOff>
      <xdr:row>102</xdr:row>
      <xdr:rowOff>0</xdr:rowOff>
    </xdr:to>
    <xdr:graphicFrame>
      <xdr:nvGraphicFramePr>
        <xdr:cNvPr id="3" name="Chart 12"/>
        <xdr:cNvGraphicFramePr/>
      </xdr:nvGraphicFramePr>
      <xdr:xfrm>
        <a:off x="8629650" y="13906500"/>
        <a:ext cx="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5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.7109375" style="129" customWidth="1"/>
    <col min="2" max="2" width="18.8515625" style="129" bestFit="1" customWidth="1"/>
    <col min="3" max="3" width="10.421875" style="129" customWidth="1"/>
    <col min="4" max="8" width="8.7109375" style="129" customWidth="1"/>
    <col min="9" max="9" width="3.140625" style="129" customWidth="1"/>
    <col min="10" max="10" width="13.28125" style="129" customWidth="1"/>
    <col min="11" max="11" width="2.7109375" style="129" customWidth="1"/>
    <col min="12" max="12" width="8.7109375" style="129" customWidth="1"/>
    <col min="13" max="13" width="17.140625" style="129" customWidth="1"/>
    <col min="14" max="14" width="19.00390625" style="129" customWidth="1"/>
    <col min="15" max="15" width="18.28125" style="129" customWidth="1"/>
    <col min="16" max="16" width="16.8515625" style="129" customWidth="1"/>
    <col min="17" max="20" width="19.421875" style="129" customWidth="1"/>
    <col min="21" max="24" width="19.421875" style="0" customWidth="1"/>
    <col min="54" max="54" width="21.28125" style="0" customWidth="1"/>
    <col min="59" max="59" width="21.28125" style="0" customWidth="1"/>
    <col min="64" max="64" width="21.28125" style="0" customWidth="1"/>
    <col min="69" max="69" width="21.28125" style="0" customWidth="1"/>
    <col min="74" max="74" width="21.28125" style="0" customWidth="1"/>
    <col min="79" max="79" width="21.28125" style="0" customWidth="1"/>
    <col min="84" max="84" width="21.28125" style="0" customWidth="1"/>
    <col min="89" max="89" width="21.28125" style="0" customWidth="1"/>
    <col min="94" max="94" width="10.7109375" style="0" customWidth="1"/>
  </cols>
  <sheetData>
    <row r="1" spans="1:24" s="9" customFormat="1" ht="13.5" thickBot="1">
      <c r="A1" s="208"/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09"/>
      <c r="N1" s="211" t="s">
        <v>132</v>
      </c>
      <c r="O1" s="129"/>
      <c r="P1" s="129"/>
      <c r="Q1" s="129"/>
      <c r="R1" s="129"/>
      <c r="S1" s="129"/>
      <c r="T1" s="129"/>
      <c r="U1"/>
      <c r="V1"/>
      <c r="W1"/>
      <c r="X1"/>
    </row>
    <row r="2" spans="1:14" ht="16.5" customHeight="1" thickBot="1">
      <c r="A2" s="212"/>
      <c r="B2" s="376" t="s">
        <v>24</v>
      </c>
      <c r="C2" s="377"/>
      <c r="D2" s="377"/>
      <c r="E2" s="377"/>
      <c r="F2" s="377"/>
      <c r="G2" s="377"/>
      <c r="H2" s="378"/>
      <c r="I2" s="213"/>
      <c r="J2" s="379" t="s">
        <v>61</v>
      </c>
      <c r="K2" s="380"/>
      <c r="L2" s="381"/>
      <c r="M2" s="213"/>
      <c r="N2" s="214"/>
    </row>
    <row r="3" spans="1:14" ht="12.75" customHeight="1" thickBot="1">
      <c r="A3" s="212"/>
      <c r="B3" s="215" t="s">
        <v>93</v>
      </c>
      <c r="C3" s="177"/>
      <c r="D3" s="178"/>
      <c r="E3" s="178"/>
      <c r="F3" s="178"/>
      <c r="G3" s="178"/>
      <c r="H3" s="179"/>
      <c r="I3" s="216"/>
      <c r="J3" s="217"/>
      <c r="K3" s="217"/>
      <c r="L3" s="217"/>
      <c r="M3" s="218"/>
      <c r="N3" s="219"/>
    </row>
    <row r="4" spans="1:92" ht="12.75" customHeight="1">
      <c r="A4" s="212"/>
      <c r="B4" s="220" t="s">
        <v>3</v>
      </c>
      <c r="C4" s="365"/>
      <c r="D4" s="366"/>
      <c r="E4" s="366"/>
      <c r="F4" s="366"/>
      <c r="G4" s="366"/>
      <c r="H4" s="171"/>
      <c r="I4" s="216"/>
      <c r="J4" s="208" t="s">
        <v>14</v>
      </c>
      <c r="K4" s="222"/>
      <c r="L4" s="171"/>
      <c r="M4" s="218"/>
      <c r="N4" s="219"/>
      <c r="AY4" s="2"/>
      <c r="AZ4" s="2"/>
      <c r="BA4" s="2"/>
      <c r="BB4" s="4"/>
      <c r="BC4" s="2"/>
      <c r="BD4" s="2"/>
      <c r="BE4" s="2"/>
      <c r="BF4" s="2"/>
      <c r="BG4" s="4"/>
      <c r="BH4" s="2"/>
      <c r="BI4" s="2"/>
      <c r="BJ4" s="2"/>
      <c r="BK4" s="2"/>
      <c r="BL4" s="4"/>
      <c r="BM4" s="2"/>
      <c r="BN4" s="2"/>
      <c r="BO4" s="2"/>
      <c r="BP4" s="2"/>
      <c r="BQ4" s="4"/>
      <c r="BR4" s="2"/>
      <c r="BS4" s="2"/>
      <c r="BT4" s="2"/>
      <c r="BU4" s="2"/>
      <c r="BV4" s="4"/>
      <c r="BW4" s="2"/>
      <c r="BX4" s="2"/>
      <c r="BY4" s="2"/>
      <c r="BZ4" s="2"/>
      <c r="CA4" s="4"/>
      <c r="CB4" s="2"/>
      <c r="CC4" s="2"/>
      <c r="CD4" s="2"/>
      <c r="CE4" s="2"/>
      <c r="CF4" s="4"/>
      <c r="CG4" s="2"/>
      <c r="CH4" s="2"/>
      <c r="CI4" s="2"/>
      <c r="CJ4" s="2"/>
      <c r="CK4" s="4"/>
      <c r="CL4" s="2"/>
      <c r="CM4" s="2"/>
      <c r="CN4" s="2"/>
    </row>
    <row r="5" spans="1:92" ht="12.75" customHeight="1">
      <c r="A5" s="212"/>
      <c r="B5" s="223"/>
      <c r="C5" s="161"/>
      <c r="D5" s="2"/>
      <c r="E5" s="2"/>
      <c r="F5" s="2"/>
      <c r="G5" s="2"/>
      <c r="H5" s="172"/>
      <c r="I5" s="216"/>
      <c r="J5" s="212"/>
      <c r="K5" s="221"/>
      <c r="L5" s="172"/>
      <c r="M5" s="218"/>
      <c r="N5" s="219"/>
      <c r="AY5" s="2"/>
      <c r="AZ5" s="2"/>
      <c r="BA5" s="2"/>
      <c r="BB5" s="3"/>
      <c r="BC5" s="2"/>
      <c r="BD5" s="2"/>
      <c r="BE5" s="2"/>
      <c r="BF5" s="2"/>
      <c r="BG5" s="3"/>
      <c r="BH5" s="2"/>
      <c r="BI5" s="2"/>
      <c r="BJ5" s="2"/>
      <c r="BK5" s="2"/>
      <c r="BL5" s="3"/>
      <c r="BM5" s="2"/>
      <c r="BN5" s="2"/>
      <c r="BO5" s="2"/>
      <c r="BP5" s="2"/>
      <c r="BQ5" s="3"/>
      <c r="BR5" s="2"/>
      <c r="BS5" s="2"/>
      <c r="BT5" s="2"/>
      <c r="BU5" s="2"/>
      <c r="BV5" s="3"/>
      <c r="BW5" s="2"/>
      <c r="BX5" s="2"/>
      <c r="BY5" s="2"/>
      <c r="BZ5" s="2"/>
      <c r="CA5" s="3"/>
      <c r="CB5" s="2"/>
      <c r="CC5" s="2"/>
      <c r="CD5" s="2"/>
      <c r="CE5" s="2"/>
      <c r="CF5" s="3"/>
      <c r="CG5" s="2"/>
      <c r="CH5" s="2"/>
      <c r="CI5" s="2"/>
      <c r="CJ5" s="2"/>
      <c r="CK5" s="3"/>
      <c r="CL5" s="2"/>
      <c r="CM5" s="2"/>
      <c r="CN5" s="2"/>
    </row>
    <row r="6" spans="1:92" ht="12.75" customHeight="1">
      <c r="A6" s="212"/>
      <c r="B6" s="223"/>
      <c r="C6" s="161"/>
      <c r="D6" s="2"/>
      <c r="E6" s="2"/>
      <c r="F6" s="2"/>
      <c r="G6" s="2"/>
      <c r="H6" s="172"/>
      <c r="I6" s="216"/>
      <c r="J6" s="212"/>
      <c r="K6" s="221"/>
      <c r="L6" s="172"/>
      <c r="M6" s="218"/>
      <c r="N6" s="219"/>
      <c r="AY6" s="6"/>
      <c r="AZ6" s="2"/>
      <c r="BA6" s="2"/>
      <c r="BB6" s="2"/>
      <c r="BC6" s="2"/>
      <c r="BD6" s="6"/>
      <c r="BE6" s="2"/>
      <c r="BF6" s="2"/>
      <c r="BG6" s="2"/>
      <c r="BH6" s="2"/>
      <c r="BI6" s="6"/>
      <c r="BJ6" s="2"/>
      <c r="BK6" s="2"/>
      <c r="BL6" s="2"/>
      <c r="BM6" s="2"/>
      <c r="BN6" s="6"/>
      <c r="BO6" s="2"/>
      <c r="BP6" s="2"/>
      <c r="BQ6" s="2"/>
      <c r="BR6" s="2"/>
      <c r="BS6" s="6"/>
      <c r="BT6" s="2"/>
      <c r="BU6" s="2"/>
      <c r="BV6" s="2"/>
      <c r="BW6" s="2"/>
      <c r="BX6" s="6"/>
      <c r="BY6" s="2"/>
      <c r="BZ6" s="2"/>
      <c r="CA6" s="2"/>
      <c r="CB6" s="2"/>
      <c r="CC6" s="6"/>
      <c r="CD6" s="2"/>
      <c r="CE6" s="2"/>
      <c r="CF6" s="2"/>
      <c r="CG6" s="2"/>
      <c r="CH6" s="6"/>
      <c r="CI6" s="2"/>
      <c r="CJ6" s="2"/>
      <c r="CK6" s="2"/>
      <c r="CL6" s="2"/>
      <c r="CM6" s="6"/>
      <c r="CN6" s="2"/>
    </row>
    <row r="7" spans="1:92" ht="12.75" customHeight="1" thickBot="1">
      <c r="A7" s="212"/>
      <c r="B7" s="224"/>
      <c r="C7" s="162"/>
      <c r="D7" s="128"/>
      <c r="E7" s="128"/>
      <c r="F7" s="128"/>
      <c r="G7" s="128"/>
      <c r="H7" s="173"/>
      <c r="I7" s="216"/>
      <c r="J7" s="225"/>
      <c r="K7" s="227"/>
      <c r="L7" s="173"/>
      <c r="M7" s="218"/>
      <c r="N7" s="219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</row>
    <row r="8" spans="1:92" ht="12.75" customHeight="1" thickBot="1">
      <c r="A8" s="212"/>
      <c r="B8" s="217"/>
      <c r="C8" s="217"/>
      <c r="D8" s="217"/>
      <c r="E8" s="217"/>
      <c r="F8" s="217"/>
      <c r="G8" s="217"/>
      <c r="H8" s="217"/>
      <c r="I8" s="228"/>
      <c r="J8" s="217"/>
      <c r="K8" s="217"/>
      <c r="L8" s="217"/>
      <c r="M8" s="218"/>
      <c r="N8" s="219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16.5" customHeight="1" thickBot="1">
      <c r="A9" s="212"/>
      <c r="B9" s="382" t="s">
        <v>69</v>
      </c>
      <c r="C9" s="383"/>
      <c r="D9" s="383"/>
      <c r="E9" s="383"/>
      <c r="F9" s="383"/>
      <c r="G9" s="383"/>
      <c r="H9" s="384"/>
      <c r="I9" s="228"/>
      <c r="J9" s="217"/>
      <c r="K9" s="217"/>
      <c r="L9" s="217"/>
      <c r="M9" s="218"/>
      <c r="N9" s="219"/>
      <c r="AY9" s="5"/>
      <c r="AZ9" s="5"/>
      <c r="BA9" s="2"/>
      <c r="BB9" s="4"/>
      <c r="BC9" s="5"/>
      <c r="BD9" s="5"/>
      <c r="BE9" s="5"/>
      <c r="BF9" s="2"/>
      <c r="BG9" s="4"/>
      <c r="BH9" s="5"/>
      <c r="BI9" s="5"/>
      <c r="BJ9" s="5"/>
      <c r="BK9" s="2"/>
      <c r="BL9" s="4"/>
      <c r="BM9" s="5"/>
      <c r="BN9" s="5"/>
      <c r="BO9" s="5"/>
      <c r="BP9" s="2"/>
      <c r="BQ9" s="4"/>
      <c r="BR9" s="5"/>
      <c r="BS9" s="5"/>
      <c r="BT9" s="5"/>
      <c r="BU9" s="2"/>
      <c r="BV9" s="4"/>
      <c r="BW9" s="5"/>
      <c r="BX9" s="5"/>
      <c r="BY9" s="5"/>
      <c r="BZ9" s="2"/>
      <c r="CA9" s="4"/>
      <c r="CB9" s="5"/>
      <c r="CC9" s="5"/>
      <c r="CD9" s="5"/>
      <c r="CE9" s="2"/>
      <c r="CF9" s="4"/>
      <c r="CG9" s="5"/>
      <c r="CH9" s="5"/>
      <c r="CI9" s="5"/>
      <c r="CJ9" s="2"/>
      <c r="CK9" s="4"/>
      <c r="CL9" s="5"/>
      <c r="CM9" s="5"/>
      <c r="CN9" s="5"/>
    </row>
    <row r="10" spans="1:92" ht="12.75" customHeight="1" thickBot="1">
      <c r="A10" s="212"/>
      <c r="B10" s="229" t="s">
        <v>5</v>
      </c>
      <c r="C10" s="177"/>
      <c r="D10" s="178"/>
      <c r="E10" s="178"/>
      <c r="F10" s="178"/>
      <c r="G10" s="178"/>
      <c r="H10" s="179"/>
      <c r="I10" s="228"/>
      <c r="J10" s="217"/>
      <c r="K10" s="217"/>
      <c r="L10" s="217"/>
      <c r="M10" s="218"/>
      <c r="N10" s="219"/>
      <c r="AY10" s="5"/>
      <c r="AZ10" s="5"/>
      <c r="BA10" s="2"/>
      <c r="BB10" s="4"/>
      <c r="BC10" s="5"/>
      <c r="BD10" s="5"/>
      <c r="BE10" s="5"/>
      <c r="BF10" s="2"/>
      <c r="BG10" s="4"/>
      <c r="BH10" s="5"/>
      <c r="BI10" s="5"/>
      <c r="BJ10" s="5"/>
      <c r="BK10" s="2"/>
      <c r="BL10" s="4"/>
      <c r="BM10" s="5"/>
      <c r="BN10" s="5"/>
      <c r="BO10" s="5"/>
      <c r="BP10" s="2"/>
      <c r="BQ10" s="4"/>
      <c r="BR10" s="5"/>
      <c r="BS10" s="5"/>
      <c r="BT10" s="5"/>
      <c r="BU10" s="2"/>
      <c r="BV10" s="4"/>
      <c r="BW10" s="5"/>
      <c r="BX10" s="5"/>
      <c r="BY10" s="5"/>
      <c r="BZ10" s="2"/>
      <c r="CA10" s="4"/>
      <c r="CB10" s="5"/>
      <c r="CC10" s="5"/>
      <c r="CD10" s="5"/>
      <c r="CE10" s="2"/>
      <c r="CF10" s="4"/>
      <c r="CG10" s="5"/>
      <c r="CH10" s="5"/>
      <c r="CI10" s="5"/>
      <c r="CJ10" s="2"/>
      <c r="CK10" s="4"/>
      <c r="CL10" s="5"/>
      <c r="CM10" s="5"/>
      <c r="CN10" s="5"/>
    </row>
    <row r="11" spans="1:92" ht="12.75" customHeight="1">
      <c r="A11" s="212"/>
      <c r="B11" s="230" t="s">
        <v>4</v>
      </c>
      <c r="C11" s="161"/>
      <c r="D11" s="2"/>
      <c r="E11" s="2"/>
      <c r="F11" s="10"/>
      <c r="G11" s="10"/>
      <c r="H11" s="172"/>
      <c r="I11" s="228"/>
      <c r="J11" s="217"/>
      <c r="K11" s="217"/>
      <c r="L11" s="217"/>
      <c r="M11" s="231"/>
      <c r="N11" s="232"/>
      <c r="AY11" s="5"/>
      <c r="AZ11" s="5"/>
      <c r="BA11" s="2"/>
      <c r="BB11" s="2"/>
      <c r="BC11" s="5"/>
      <c r="BD11" s="5"/>
      <c r="BE11" s="5"/>
      <c r="BF11" s="2"/>
      <c r="BG11" s="2"/>
      <c r="BH11" s="5"/>
      <c r="BI11" s="5"/>
      <c r="BJ11" s="5"/>
      <c r="BK11" s="2"/>
      <c r="BL11" s="2"/>
      <c r="BM11" s="5"/>
      <c r="BN11" s="5"/>
      <c r="BO11" s="5"/>
      <c r="BP11" s="2"/>
      <c r="BQ11" s="2"/>
      <c r="BR11" s="5"/>
      <c r="BS11" s="5"/>
      <c r="BT11" s="5"/>
      <c r="BU11" s="2"/>
      <c r="BV11" s="2"/>
      <c r="BW11" s="5"/>
      <c r="BX11" s="5"/>
      <c r="BY11" s="5"/>
      <c r="BZ11" s="2"/>
      <c r="CA11" s="2"/>
      <c r="CB11" s="5"/>
      <c r="CC11" s="5"/>
      <c r="CD11" s="5"/>
      <c r="CE11" s="2"/>
      <c r="CF11" s="2"/>
      <c r="CG11" s="5"/>
      <c r="CH11" s="5"/>
      <c r="CI11" s="5"/>
      <c r="CJ11" s="2"/>
      <c r="CK11" s="2"/>
      <c r="CL11" s="5"/>
      <c r="CM11" s="5"/>
      <c r="CN11" s="5"/>
    </row>
    <row r="12" spans="1:92" ht="12.75" customHeight="1">
      <c r="A12" s="212"/>
      <c r="B12" s="233"/>
      <c r="C12" s="161"/>
      <c r="D12" s="2"/>
      <c r="E12" s="2"/>
      <c r="F12" s="10"/>
      <c r="G12" s="10"/>
      <c r="H12" s="172"/>
      <c r="I12" s="228"/>
      <c r="J12" s="217"/>
      <c r="K12" s="217"/>
      <c r="L12" s="217"/>
      <c r="M12" s="231"/>
      <c r="N12" s="23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12.75" customHeight="1">
      <c r="A13" s="212"/>
      <c r="B13" s="233"/>
      <c r="C13" s="161"/>
      <c r="D13" s="2"/>
      <c r="E13" s="2"/>
      <c r="F13" s="10"/>
      <c r="G13" s="10"/>
      <c r="H13" s="172"/>
      <c r="I13" s="228"/>
      <c r="J13" s="217"/>
      <c r="K13" s="217"/>
      <c r="L13" s="217"/>
      <c r="M13" s="231"/>
      <c r="N13" s="232"/>
      <c r="AY13" s="5"/>
      <c r="AZ13" s="5"/>
      <c r="BA13" s="2"/>
      <c r="BB13" s="4"/>
      <c r="BC13" s="5"/>
      <c r="BD13" s="5"/>
      <c r="BE13" s="5"/>
      <c r="BF13" s="2"/>
      <c r="BG13" s="4"/>
      <c r="BH13" s="5"/>
      <c r="BI13" s="5"/>
      <c r="BJ13" s="5"/>
      <c r="BK13" s="2"/>
      <c r="BL13" s="4"/>
      <c r="BM13" s="5"/>
      <c r="BN13" s="5"/>
      <c r="BO13" s="5"/>
      <c r="BP13" s="2"/>
      <c r="BQ13" s="4"/>
      <c r="BR13" s="5"/>
      <c r="BS13" s="5"/>
      <c r="BT13" s="5"/>
      <c r="BU13" s="2"/>
      <c r="BV13" s="4"/>
      <c r="BW13" s="5"/>
      <c r="BX13" s="5"/>
      <c r="BY13" s="5"/>
      <c r="BZ13" s="2"/>
      <c r="CA13" s="4"/>
      <c r="CB13" s="5"/>
      <c r="CC13" s="5"/>
      <c r="CD13" s="5"/>
      <c r="CE13" s="2"/>
      <c r="CF13" s="4"/>
      <c r="CG13" s="5"/>
      <c r="CH13" s="5"/>
      <c r="CI13" s="5"/>
      <c r="CJ13" s="2"/>
      <c r="CK13" s="4"/>
      <c r="CL13" s="5"/>
      <c r="CM13" s="5"/>
      <c r="CN13" s="5"/>
    </row>
    <row r="14" spans="1:92" ht="12.75" customHeight="1" thickBot="1">
      <c r="A14" s="212"/>
      <c r="B14" s="234"/>
      <c r="C14" s="162"/>
      <c r="D14" s="128"/>
      <c r="E14" s="128"/>
      <c r="F14" s="267"/>
      <c r="G14" s="267"/>
      <c r="H14" s="173"/>
      <c r="I14" s="228"/>
      <c r="J14" s="217"/>
      <c r="K14" s="217"/>
      <c r="L14" s="217"/>
      <c r="M14" s="231"/>
      <c r="N14" s="232"/>
      <c r="AY14" s="5"/>
      <c r="AZ14" s="5"/>
      <c r="BA14" s="2"/>
      <c r="BB14" s="4"/>
      <c r="BC14" s="5"/>
      <c r="BD14" s="5"/>
      <c r="BE14" s="5"/>
      <c r="BF14" s="2"/>
      <c r="BG14" s="4"/>
      <c r="BH14" s="5"/>
      <c r="BI14" s="5"/>
      <c r="BJ14" s="5"/>
      <c r="BK14" s="2"/>
      <c r="BL14" s="4"/>
      <c r="BM14" s="5"/>
      <c r="BN14" s="5"/>
      <c r="BO14" s="5"/>
      <c r="BP14" s="2"/>
      <c r="BQ14" s="4"/>
      <c r="BR14" s="5"/>
      <c r="BS14" s="5"/>
      <c r="BT14" s="5"/>
      <c r="BU14" s="2"/>
      <c r="BV14" s="4"/>
      <c r="BW14" s="5"/>
      <c r="BX14" s="5"/>
      <c r="BY14" s="5"/>
      <c r="BZ14" s="2"/>
      <c r="CA14" s="4"/>
      <c r="CB14" s="5"/>
      <c r="CC14" s="5"/>
      <c r="CD14" s="5"/>
      <c r="CE14" s="2"/>
      <c r="CF14" s="4"/>
      <c r="CG14" s="5"/>
      <c r="CH14" s="5"/>
      <c r="CI14" s="5"/>
      <c r="CJ14" s="2"/>
      <c r="CK14" s="4"/>
      <c r="CL14" s="5"/>
      <c r="CM14" s="5"/>
      <c r="CN14" s="5"/>
    </row>
    <row r="15" spans="1:92" ht="12.75" customHeight="1" thickBot="1">
      <c r="A15" s="212"/>
      <c r="B15" s="217"/>
      <c r="C15" s="217"/>
      <c r="D15" s="217"/>
      <c r="E15" s="217"/>
      <c r="F15" s="217"/>
      <c r="G15" s="217"/>
      <c r="H15" s="217"/>
      <c r="I15" s="235"/>
      <c r="J15" s="217"/>
      <c r="K15" s="217"/>
      <c r="L15" s="217"/>
      <c r="M15" s="231"/>
      <c r="N15" s="232"/>
      <c r="AY15" s="5"/>
      <c r="AZ15" s="5"/>
      <c r="BA15" s="2"/>
      <c r="BB15" s="4"/>
      <c r="BC15" s="5"/>
      <c r="BD15" s="5"/>
      <c r="BE15" s="5"/>
      <c r="BF15" s="2"/>
      <c r="BG15" s="4"/>
      <c r="BH15" s="5"/>
      <c r="BI15" s="5"/>
      <c r="BJ15" s="5"/>
      <c r="BK15" s="2"/>
      <c r="BL15" s="4"/>
      <c r="BM15" s="5"/>
      <c r="BN15" s="5"/>
      <c r="BO15" s="5"/>
      <c r="BP15" s="2"/>
      <c r="BQ15" s="4"/>
      <c r="BR15" s="5"/>
      <c r="BS15" s="5"/>
      <c r="BT15" s="5"/>
      <c r="BU15" s="2"/>
      <c r="BV15" s="4"/>
      <c r="BW15" s="5"/>
      <c r="BX15" s="5"/>
      <c r="BY15" s="5"/>
      <c r="BZ15" s="2"/>
      <c r="CA15" s="4"/>
      <c r="CB15" s="5"/>
      <c r="CC15" s="5"/>
      <c r="CD15" s="5"/>
      <c r="CE15" s="2"/>
      <c r="CF15" s="4"/>
      <c r="CG15" s="5"/>
      <c r="CH15" s="5"/>
      <c r="CI15" s="5"/>
      <c r="CJ15" s="2"/>
      <c r="CK15" s="4"/>
      <c r="CL15" s="5"/>
      <c r="CM15" s="5"/>
      <c r="CN15" s="5"/>
    </row>
    <row r="16" spans="1:92" ht="12.75" customHeight="1">
      <c r="A16" s="212"/>
      <c r="B16" s="236" t="s">
        <v>124</v>
      </c>
      <c r="C16" s="385"/>
      <c r="D16" s="386"/>
      <c r="E16" s="237"/>
      <c r="F16" s="237"/>
      <c r="G16" s="217"/>
      <c r="H16" s="217"/>
      <c r="I16" s="235"/>
      <c r="J16" s="217"/>
      <c r="K16" s="217"/>
      <c r="L16" s="217"/>
      <c r="M16" s="231"/>
      <c r="N16" s="232"/>
      <c r="AY16" s="5"/>
      <c r="AZ16" s="5"/>
      <c r="BA16" s="2"/>
      <c r="BB16" s="4"/>
      <c r="BC16" s="5"/>
      <c r="BD16" s="5"/>
      <c r="BE16" s="5"/>
      <c r="BF16" s="2"/>
      <c r="BG16" s="4"/>
      <c r="BH16" s="5"/>
      <c r="BI16" s="5"/>
      <c r="BJ16" s="5"/>
      <c r="BK16" s="2"/>
      <c r="BL16" s="4"/>
      <c r="BM16" s="5"/>
      <c r="BN16" s="5"/>
      <c r="BO16" s="5"/>
      <c r="BP16" s="2"/>
      <c r="BQ16" s="4"/>
      <c r="BR16" s="5"/>
      <c r="BS16" s="5"/>
      <c r="BT16" s="5"/>
      <c r="BU16" s="2"/>
      <c r="BV16" s="4"/>
      <c r="BW16" s="5"/>
      <c r="BX16" s="5"/>
      <c r="BY16" s="5"/>
      <c r="BZ16" s="2"/>
      <c r="CA16" s="4"/>
      <c r="CB16" s="5"/>
      <c r="CC16" s="5"/>
      <c r="CD16" s="5"/>
      <c r="CE16" s="2"/>
      <c r="CF16" s="4"/>
      <c r="CG16" s="5"/>
      <c r="CH16" s="5"/>
      <c r="CI16" s="5"/>
      <c r="CJ16" s="2"/>
      <c r="CK16" s="4"/>
      <c r="CL16" s="5"/>
      <c r="CM16" s="5"/>
      <c r="CN16" s="5"/>
    </row>
    <row r="17" spans="1:14" ht="12.75" customHeight="1" thickBot="1">
      <c r="A17" s="212"/>
      <c r="B17" s="238" t="s">
        <v>25</v>
      </c>
      <c r="C17" s="266">
        <v>1</v>
      </c>
      <c r="D17" s="227"/>
      <c r="E17" s="237"/>
      <c r="F17" s="237"/>
      <c r="G17" s="217"/>
      <c r="H17" s="217"/>
      <c r="I17" s="237"/>
      <c r="J17" s="217"/>
      <c r="K17" s="217"/>
      <c r="L17" s="217"/>
      <c r="M17" s="231"/>
      <c r="N17" s="232"/>
    </row>
    <row r="18" spans="1:14" ht="12.75" customHeight="1" thickBot="1">
      <c r="A18" s="212"/>
      <c r="B18" s="239"/>
      <c r="C18" s="216"/>
      <c r="D18" s="237"/>
      <c r="E18" s="237"/>
      <c r="F18" s="237"/>
      <c r="G18" s="217"/>
      <c r="H18" s="217"/>
      <c r="I18" s="237"/>
      <c r="J18" s="217"/>
      <c r="K18" s="217"/>
      <c r="L18" s="217"/>
      <c r="M18" s="231"/>
      <c r="N18" s="232"/>
    </row>
    <row r="19" spans="1:14" ht="12.75" customHeight="1">
      <c r="A19" s="212"/>
      <c r="B19" s="240" t="s">
        <v>123</v>
      </c>
      <c r="C19" s="217"/>
      <c r="D19" s="367" t="s">
        <v>25</v>
      </c>
      <c r="E19" s="241">
        <v>-0.95</v>
      </c>
      <c r="F19" s="242">
        <v>0.95</v>
      </c>
      <c r="G19" s="217"/>
      <c r="H19" s="217"/>
      <c r="I19" s="237"/>
      <c r="J19" s="217"/>
      <c r="K19" s="217"/>
      <c r="L19" s="217"/>
      <c r="M19" s="231"/>
      <c r="N19" s="232"/>
    </row>
    <row r="20" spans="1:14" ht="15.75" customHeight="1" thickBot="1">
      <c r="A20" s="212"/>
      <c r="B20" s="268">
        <v>1</v>
      </c>
      <c r="C20" s="217"/>
      <c r="D20" s="368" t="e">
        <f>$C$17*B20*Calc!D41</f>
        <v>#DIV/0!</v>
      </c>
      <c r="E20" s="243" t="e">
        <f>$C$17*B20*Calc!D43</f>
        <v>#DIV/0!</v>
      </c>
      <c r="F20" s="244" t="e">
        <f>$C$17*B20*Calc!D42</f>
        <v>#DIV/0!</v>
      </c>
      <c r="G20" s="217"/>
      <c r="H20" s="217"/>
      <c r="I20" s="237"/>
      <c r="J20" s="217"/>
      <c r="K20" s="217"/>
      <c r="L20" s="217"/>
      <c r="M20" s="231"/>
      <c r="N20" s="232"/>
    </row>
    <row r="21" spans="1:14" ht="12.75" customHeight="1" thickBot="1">
      <c r="A21" s="212"/>
      <c r="B21" s="217"/>
      <c r="C21" s="217"/>
      <c r="D21" s="217"/>
      <c r="E21" s="217"/>
      <c r="F21" s="217"/>
      <c r="G21" s="217"/>
      <c r="H21" s="217"/>
      <c r="I21" s="237"/>
      <c r="J21" s="217"/>
      <c r="K21" s="217"/>
      <c r="L21" s="217"/>
      <c r="M21" s="218"/>
      <c r="N21" s="219"/>
    </row>
    <row r="22" spans="1:14" ht="12.75" customHeight="1">
      <c r="A22" s="212"/>
      <c r="B22" s="208"/>
      <c r="C22" s="245" t="s">
        <v>121</v>
      </c>
      <c r="D22" s="245" t="s">
        <v>122</v>
      </c>
      <c r="E22" s="222"/>
      <c r="F22" s="217"/>
      <c r="G22" s="217"/>
      <c r="H22" s="217"/>
      <c r="I22" s="237"/>
      <c r="J22" s="217"/>
      <c r="K22" s="217"/>
      <c r="L22" s="217"/>
      <c r="M22" s="218"/>
      <c r="N22" s="219"/>
    </row>
    <row r="23" spans="1:14" ht="12.75" customHeight="1">
      <c r="A23" s="212"/>
      <c r="B23" s="246" t="s">
        <v>61</v>
      </c>
      <c r="C23" s="247" t="e">
        <f>+Calc!G59</f>
        <v>#DIV/0!</v>
      </c>
      <c r="D23" s="248" t="e">
        <f>+Calc!H59</f>
        <v>#NUM!</v>
      </c>
      <c r="E23" s="249" t="e">
        <f>IF(C23&gt;D23,"Error","Ok")</f>
        <v>#DIV/0!</v>
      </c>
      <c r="F23" s="217"/>
      <c r="G23" s="217"/>
      <c r="H23" s="217"/>
      <c r="I23" s="237"/>
      <c r="J23" s="217"/>
      <c r="K23" s="217"/>
      <c r="L23" s="217"/>
      <c r="M23" s="218"/>
      <c r="N23" s="219"/>
    </row>
    <row r="24" spans="1:14" ht="12.75">
      <c r="A24" s="212"/>
      <c r="B24" s="250" t="s">
        <v>63</v>
      </c>
      <c r="C24" s="247" t="e">
        <f>+Calc!G60</f>
        <v>#DIV/0!</v>
      </c>
      <c r="D24" s="248" t="e">
        <f>+Calc!H60</f>
        <v>#NUM!</v>
      </c>
      <c r="E24" s="251" t="e">
        <f>IF(C24&gt;D24,"Error","Ok")</f>
        <v>#DIV/0!</v>
      </c>
      <c r="F24" s="217"/>
      <c r="G24" s="237"/>
      <c r="H24" s="237"/>
      <c r="I24" s="237"/>
      <c r="J24" s="217"/>
      <c r="K24" s="217"/>
      <c r="L24" s="217"/>
      <c r="M24" s="218"/>
      <c r="N24" s="219"/>
    </row>
    <row r="25" spans="1:14" ht="13.5" thickBot="1">
      <c r="A25" s="212"/>
      <c r="B25" s="252" t="s">
        <v>62</v>
      </c>
      <c r="C25" s="253" t="e">
        <f>+Calc!G61</f>
        <v>#DIV/0!</v>
      </c>
      <c r="D25" s="254" t="e">
        <f>+Calc!H61</f>
        <v>#NUM!</v>
      </c>
      <c r="E25" s="255" t="e">
        <f>IF(C25&gt;D25,"Error","Ok")</f>
        <v>#DIV/0!</v>
      </c>
      <c r="F25" s="217"/>
      <c r="G25" s="237"/>
      <c r="H25" s="237"/>
      <c r="I25" s="237"/>
      <c r="J25" s="217"/>
      <c r="K25" s="217"/>
      <c r="L25" s="217"/>
      <c r="M25" s="218"/>
      <c r="N25" s="219"/>
    </row>
    <row r="26" spans="1:14" ht="13.5" thickBot="1">
      <c r="A26" s="212"/>
      <c r="B26" s="218"/>
      <c r="C26" s="218"/>
      <c r="D26" s="218"/>
      <c r="E26" s="237"/>
      <c r="F26" s="237"/>
      <c r="G26" s="256"/>
      <c r="H26" s="256"/>
      <c r="I26" s="256"/>
      <c r="J26" s="217"/>
      <c r="K26" s="217"/>
      <c r="L26" s="217"/>
      <c r="M26" s="218"/>
      <c r="N26" s="219"/>
    </row>
    <row r="27" spans="1:14" ht="12.75">
      <c r="A27" s="212"/>
      <c r="B27" s="257" t="s">
        <v>118</v>
      </c>
      <c r="C27" s="207"/>
      <c r="D27" s="258"/>
      <c r="E27" s="259"/>
      <c r="F27" s="260"/>
      <c r="G27" s="237"/>
      <c r="H27" s="237"/>
      <c r="I27" s="237"/>
      <c r="J27" s="217"/>
      <c r="K27" s="217"/>
      <c r="L27" s="217"/>
      <c r="M27" s="218"/>
      <c r="N27" s="219"/>
    </row>
    <row r="28" spans="1:14" ht="12.75">
      <c r="A28" s="212"/>
      <c r="B28" s="261" t="s">
        <v>119</v>
      </c>
      <c r="C28" s="369"/>
      <c r="D28" s="370"/>
      <c r="E28" s="370"/>
      <c r="F28" s="371"/>
      <c r="G28" s="237"/>
      <c r="H28" s="237"/>
      <c r="I28" s="237"/>
      <c r="J28" s="217"/>
      <c r="K28" s="217"/>
      <c r="L28" s="217"/>
      <c r="M28" s="218"/>
      <c r="N28" s="219"/>
    </row>
    <row r="29" spans="1:14" ht="12.75">
      <c r="A29" s="212"/>
      <c r="B29" s="262"/>
      <c r="C29" s="372"/>
      <c r="D29" s="370"/>
      <c r="E29" s="370"/>
      <c r="F29" s="371"/>
      <c r="G29" s="218"/>
      <c r="H29" s="218"/>
      <c r="I29" s="218"/>
      <c r="J29" s="217"/>
      <c r="K29" s="217"/>
      <c r="L29" s="217"/>
      <c r="M29" s="218"/>
      <c r="N29" s="219"/>
    </row>
    <row r="30" spans="1:14" ht="13.5" thickBot="1">
      <c r="A30" s="212"/>
      <c r="B30" s="263"/>
      <c r="C30" s="373"/>
      <c r="D30" s="374"/>
      <c r="E30" s="374"/>
      <c r="F30" s="375"/>
      <c r="G30" s="218"/>
      <c r="H30" s="218"/>
      <c r="I30" s="218"/>
      <c r="J30" s="217"/>
      <c r="K30" s="217"/>
      <c r="L30" s="217"/>
      <c r="M30" s="218"/>
      <c r="N30" s="219"/>
    </row>
    <row r="31" spans="1:14" ht="12.75">
      <c r="A31" s="212"/>
      <c r="B31" s="217"/>
      <c r="C31" s="217"/>
      <c r="D31" s="217"/>
      <c r="E31" s="217"/>
      <c r="F31" s="217"/>
      <c r="G31" s="256"/>
      <c r="H31" s="256"/>
      <c r="I31" s="256"/>
      <c r="J31" s="217"/>
      <c r="K31" s="217"/>
      <c r="L31" s="217"/>
      <c r="M31" s="218"/>
      <c r="N31" s="219"/>
    </row>
    <row r="32" spans="1:14" ht="13.5" thickBot="1">
      <c r="A32" s="225"/>
      <c r="B32" s="226"/>
      <c r="C32" s="226"/>
      <c r="D32" s="226"/>
      <c r="E32" s="226"/>
      <c r="F32" s="226"/>
      <c r="G32" s="264"/>
      <c r="H32" s="264"/>
      <c r="I32" s="264"/>
      <c r="J32" s="226"/>
      <c r="K32" s="226"/>
      <c r="L32" s="226"/>
      <c r="M32" s="264"/>
      <c r="N32" s="265"/>
    </row>
    <row r="33" spans="7:14" ht="12.75">
      <c r="G33" s="130"/>
      <c r="H33" s="130"/>
      <c r="I33" s="130"/>
      <c r="M33" s="130"/>
      <c r="N33" s="130"/>
    </row>
    <row r="34" spans="7:14" ht="12.75">
      <c r="G34" s="130"/>
      <c r="H34" s="130"/>
      <c r="I34" s="130"/>
      <c r="M34" s="130"/>
      <c r="N34" s="130"/>
    </row>
    <row r="35" spans="3:14" ht="12.75">
      <c r="C35" s="130"/>
      <c r="D35" s="130"/>
      <c r="E35" s="130"/>
      <c r="F35" s="130"/>
      <c r="G35" s="130"/>
      <c r="H35" s="130"/>
      <c r="I35" s="130"/>
      <c r="M35" s="130"/>
      <c r="N35" s="130"/>
    </row>
    <row r="36" spans="2:14" ht="12.75">
      <c r="B36" s="130"/>
      <c r="C36" s="130"/>
      <c r="D36" s="130"/>
      <c r="E36" s="130"/>
      <c r="F36" s="130"/>
      <c r="G36" s="130"/>
      <c r="H36" s="130"/>
      <c r="I36" s="130"/>
      <c r="M36" s="130"/>
      <c r="N36" s="130"/>
    </row>
    <row r="37" spans="2:14" ht="12.75">
      <c r="B37" s="130"/>
      <c r="C37" s="130"/>
      <c r="D37" s="130"/>
      <c r="E37" s="130"/>
      <c r="F37" s="130"/>
      <c r="G37" s="130"/>
      <c r="H37" s="130"/>
      <c r="I37" s="130"/>
      <c r="M37" s="130"/>
      <c r="N37" s="130"/>
    </row>
    <row r="38" spans="1:14" ht="12.75">
      <c r="A38" s="136"/>
      <c r="B38" s="125"/>
      <c r="C38" s="125"/>
      <c r="D38" s="125"/>
      <c r="E38" s="125"/>
      <c r="F38" s="130"/>
      <c r="G38" s="130"/>
      <c r="H38" s="130"/>
      <c r="I38" s="130"/>
      <c r="M38" s="130"/>
      <c r="N38" s="130"/>
    </row>
    <row r="39" spans="1:14" ht="12.75">
      <c r="A39" s="136"/>
      <c r="B39" s="125"/>
      <c r="C39" s="125"/>
      <c r="D39" s="125"/>
      <c r="E39" s="125"/>
      <c r="F39" s="130"/>
      <c r="G39" s="130"/>
      <c r="H39" s="130"/>
      <c r="I39" s="130"/>
      <c r="M39" s="130"/>
      <c r="N39" s="130"/>
    </row>
    <row r="40" spans="1:14" ht="12.75">
      <c r="A40" s="136"/>
      <c r="C40" s="125"/>
      <c r="D40" s="125"/>
      <c r="E40" s="125"/>
      <c r="F40" s="130"/>
      <c r="G40" s="130"/>
      <c r="H40" s="130"/>
      <c r="I40" s="130"/>
      <c r="J40" s="130"/>
      <c r="K40" s="130"/>
      <c r="L40" s="130"/>
      <c r="M40" s="130"/>
      <c r="N40" s="130"/>
    </row>
    <row r="41" spans="1:14" ht="12.75">
      <c r="A41" s="136"/>
      <c r="C41" s="125"/>
      <c r="D41" s="125"/>
      <c r="E41" s="125"/>
      <c r="F41" s="130"/>
      <c r="G41" s="130"/>
      <c r="H41" s="130"/>
      <c r="I41" s="130"/>
      <c r="J41" s="130"/>
      <c r="K41" s="130"/>
      <c r="L41" s="130"/>
      <c r="M41" s="130"/>
      <c r="N41" s="130"/>
    </row>
    <row r="42" spans="1:14" ht="12.75">
      <c r="A42" s="136"/>
      <c r="C42" s="125"/>
      <c r="D42" s="125"/>
      <c r="E42" s="125"/>
      <c r="F42" s="130"/>
      <c r="G42" s="130"/>
      <c r="H42" s="130"/>
      <c r="I42" s="130"/>
      <c r="J42" s="130"/>
      <c r="K42" s="130"/>
      <c r="L42" s="130"/>
      <c r="M42" s="130"/>
      <c r="N42" s="130"/>
    </row>
    <row r="43" spans="1:14" ht="12.75">
      <c r="A43" s="136"/>
      <c r="B43" s="125"/>
      <c r="C43" s="125"/>
      <c r="D43" s="125"/>
      <c r="E43" s="125"/>
      <c r="F43" s="130"/>
      <c r="G43" s="130"/>
      <c r="H43" s="130"/>
      <c r="I43" s="130"/>
      <c r="J43" s="130"/>
      <c r="K43" s="130"/>
      <c r="L43" s="130"/>
      <c r="M43" s="130"/>
      <c r="N43" s="130"/>
    </row>
    <row r="44" spans="1:14" ht="12.75">
      <c r="A44" s="136"/>
      <c r="B44" s="136"/>
      <c r="C44" s="125"/>
      <c r="D44" s="125"/>
      <c r="E44" s="125"/>
      <c r="F44" s="130"/>
      <c r="G44" s="130"/>
      <c r="H44" s="130"/>
      <c r="I44" s="130"/>
      <c r="J44" s="130"/>
      <c r="K44" s="130"/>
      <c r="L44" s="130"/>
      <c r="M44" s="130"/>
      <c r="N44" s="130"/>
    </row>
    <row r="45" spans="1:14" ht="12.75">
      <c r="A45" s="136"/>
      <c r="B45" s="136"/>
      <c r="C45" s="125"/>
      <c r="D45" s="125"/>
      <c r="E45" s="125"/>
      <c r="F45" s="130"/>
      <c r="G45" s="130"/>
      <c r="H45" s="130"/>
      <c r="L45" s="130"/>
      <c r="M45" s="130"/>
      <c r="N45" s="130"/>
    </row>
    <row r="46" spans="1:14" ht="12.75">
      <c r="A46" s="136"/>
      <c r="B46" s="136"/>
      <c r="C46" s="125"/>
      <c r="D46" s="125"/>
      <c r="E46" s="125"/>
      <c r="F46" s="130"/>
      <c r="G46" s="130"/>
      <c r="H46" s="130"/>
      <c r="I46" s="130"/>
      <c r="J46" s="130"/>
      <c r="K46" s="130"/>
      <c r="L46" s="130"/>
      <c r="M46" s="130"/>
      <c r="N46" s="130"/>
    </row>
    <row r="47" spans="1:14" ht="12.75">
      <c r="A47" s="136"/>
      <c r="B47" s="136"/>
      <c r="C47" s="125"/>
      <c r="D47" s="125"/>
      <c r="E47" s="125"/>
      <c r="F47" s="130"/>
      <c r="G47" s="130"/>
      <c r="H47" s="130"/>
      <c r="I47" s="130"/>
      <c r="J47" s="130"/>
      <c r="K47" s="130"/>
      <c r="L47" s="130"/>
      <c r="M47" s="130"/>
      <c r="N47" s="130"/>
    </row>
    <row r="48" spans="1:14" ht="12.75">
      <c r="A48" s="136"/>
      <c r="B48" s="136"/>
      <c r="C48" s="125"/>
      <c r="D48" s="125"/>
      <c r="E48" s="125"/>
      <c r="F48" s="130"/>
      <c r="G48" s="130"/>
      <c r="H48" s="130"/>
      <c r="I48" s="130"/>
      <c r="J48" s="130"/>
      <c r="K48" s="130"/>
      <c r="L48" s="130"/>
      <c r="M48" s="130"/>
      <c r="N48" s="130"/>
    </row>
    <row r="49" spans="1:14" ht="12.75">
      <c r="A49" s="136"/>
      <c r="B49" s="136"/>
      <c r="C49" s="125"/>
      <c r="D49" s="125"/>
      <c r="E49" s="125"/>
      <c r="F49" s="130"/>
      <c r="G49" s="130"/>
      <c r="H49" s="130"/>
      <c r="I49" s="130"/>
      <c r="J49" s="130"/>
      <c r="K49" s="130"/>
      <c r="L49" s="130"/>
      <c r="M49" s="130"/>
      <c r="N49" s="130"/>
    </row>
    <row r="50" spans="1:14" ht="12.75">
      <c r="A50" s="136"/>
      <c r="B50" s="136"/>
      <c r="C50" s="125"/>
      <c r="D50" s="125"/>
      <c r="E50" s="125"/>
      <c r="F50" s="130"/>
      <c r="G50" s="130"/>
      <c r="H50" s="130"/>
      <c r="I50" s="130"/>
      <c r="J50" s="130"/>
      <c r="K50" s="130"/>
      <c r="L50" s="151"/>
      <c r="M50" s="130"/>
      <c r="N50" s="130"/>
    </row>
    <row r="51" spans="1:14" ht="12.75">
      <c r="A51" s="136"/>
      <c r="B51" s="136"/>
      <c r="C51" s="125"/>
      <c r="D51" s="152"/>
      <c r="E51" s="125"/>
      <c r="F51" s="130"/>
      <c r="G51" s="130"/>
      <c r="H51" s="130"/>
      <c r="I51" s="130"/>
      <c r="J51" s="130"/>
      <c r="K51" s="130"/>
      <c r="L51" s="130"/>
      <c r="M51" s="130"/>
      <c r="N51" s="130"/>
    </row>
    <row r="52" spans="1:14" ht="12.75">
      <c r="A52" s="136"/>
      <c r="B52" s="136"/>
      <c r="C52" s="125"/>
      <c r="D52" s="152"/>
      <c r="E52" s="125"/>
      <c r="F52" s="130"/>
      <c r="G52" s="130"/>
      <c r="H52" s="130"/>
      <c r="I52" s="130"/>
      <c r="J52" s="130"/>
      <c r="K52" s="130"/>
      <c r="L52" s="130"/>
      <c r="M52" s="130"/>
      <c r="N52" s="130"/>
    </row>
    <row r="53" spans="1:14" ht="12.75">
      <c r="A53" s="136"/>
      <c r="B53" s="136"/>
      <c r="C53" s="136"/>
      <c r="D53" s="136"/>
      <c r="E53" s="125"/>
      <c r="F53" s="130"/>
      <c r="G53" s="130"/>
      <c r="H53" s="150"/>
      <c r="I53" s="130"/>
      <c r="J53" s="150"/>
      <c r="K53" s="150"/>
      <c r="L53" s="150"/>
      <c r="M53" s="130"/>
      <c r="N53" s="130"/>
    </row>
    <row r="54" spans="1:14" ht="12.75">
      <c r="A54" s="136"/>
      <c r="B54" s="136"/>
      <c r="C54" s="136"/>
      <c r="D54" s="136"/>
      <c r="E54" s="125"/>
      <c r="F54" s="130"/>
      <c r="G54" s="130"/>
      <c r="H54" s="130"/>
      <c r="I54" s="130"/>
      <c r="J54" s="130"/>
      <c r="K54" s="130"/>
      <c r="L54" s="130"/>
      <c r="M54" s="130"/>
      <c r="N54" s="130"/>
    </row>
    <row r="55" spans="1:14" ht="12" customHeight="1">
      <c r="A55" s="136"/>
      <c r="B55" s="153"/>
      <c r="C55" s="153"/>
      <c r="D55" s="153"/>
      <c r="E55" s="125"/>
      <c r="F55" s="130"/>
      <c r="G55" s="130"/>
      <c r="H55" s="130"/>
      <c r="I55" s="130"/>
      <c r="J55" s="130"/>
      <c r="K55" s="130"/>
      <c r="L55" s="130"/>
      <c r="M55" s="130"/>
      <c r="N55" s="130"/>
    </row>
    <row r="56" spans="1:14" ht="12.75">
      <c r="A56" s="136"/>
      <c r="B56" s="154"/>
      <c r="C56" s="154"/>
      <c r="D56" s="154"/>
      <c r="E56" s="125"/>
      <c r="F56" s="130"/>
      <c r="G56" s="130"/>
      <c r="H56" s="130"/>
      <c r="I56" s="130"/>
      <c r="J56" s="130"/>
      <c r="K56" s="130"/>
      <c r="L56" s="130"/>
      <c r="M56" s="130"/>
      <c r="N56" s="130"/>
    </row>
    <row r="57" spans="1:14" ht="12.75">
      <c r="A57" s="136"/>
      <c r="B57" s="154"/>
      <c r="C57" s="154"/>
      <c r="D57" s="154"/>
      <c r="E57" s="125"/>
      <c r="F57" s="130"/>
      <c r="G57" s="130"/>
      <c r="H57" s="130"/>
      <c r="I57" s="130"/>
      <c r="J57" s="130"/>
      <c r="K57" s="130"/>
      <c r="L57" s="130"/>
      <c r="M57" s="130"/>
      <c r="N57" s="130"/>
    </row>
    <row r="58" spans="1:14" ht="12.75">
      <c r="A58" s="136"/>
      <c r="B58" s="154"/>
      <c r="C58" s="154"/>
      <c r="D58" s="154"/>
      <c r="E58" s="125"/>
      <c r="F58" s="130"/>
      <c r="G58" s="130"/>
      <c r="H58" s="130"/>
      <c r="I58" s="130"/>
      <c r="J58" s="130"/>
      <c r="K58" s="130"/>
      <c r="L58" s="130"/>
      <c r="M58" s="130"/>
      <c r="N58" s="130"/>
    </row>
    <row r="59" spans="1:14" ht="12.75">
      <c r="A59" s="136"/>
      <c r="B59" s="154"/>
      <c r="C59" s="154"/>
      <c r="D59" s="154"/>
      <c r="E59" s="125"/>
      <c r="F59" s="130"/>
      <c r="G59" s="130"/>
      <c r="H59" s="150"/>
      <c r="I59" s="150"/>
      <c r="J59" s="150"/>
      <c r="K59" s="150"/>
      <c r="L59" s="150"/>
      <c r="M59" s="130"/>
      <c r="N59" s="130"/>
    </row>
    <row r="60" spans="1:14" ht="12.75">
      <c r="A60" s="136"/>
      <c r="B60" s="154"/>
      <c r="C60" s="154"/>
      <c r="D60" s="154"/>
      <c r="E60" s="125"/>
      <c r="F60" s="130"/>
      <c r="G60" s="130"/>
      <c r="H60" s="130"/>
      <c r="I60" s="130"/>
      <c r="J60" s="150"/>
      <c r="K60" s="150"/>
      <c r="L60" s="150"/>
      <c r="M60" s="130"/>
      <c r="N60" s="130"/>
    </row>
    <row r="61" spans="1:14" ht="12.75">
      <c r="A61" s="136"/>
      <c r="B61" s="154"/>
      <c r="C61" s="154"/>
      <c r="D61" s="154"/>
      <c r="E61" s="125"/>
      <c r="F61" s="130"/>
      <c r="G61" s="130"/>
      <c r="H61" s="130"/>
      <c r="I61" s="130"/>
      <c r="J61" s="130"/>
      <c r="K61" s="130"/>
      <c r="L61" s="150"/>
      <c r="M61" s="130"/>
      <c r="N61" s="130"/>
    </row>
    <row r="62" spans="1:14" ht="12.75">
      <c r="A62" s="136"/>
      <c r="B62" s="154"/>
      <c r="C62" s="154"/>
      <c r="D62" s="154"/>
      <c r="E62" s="125"/>
      <c r="F62" s="130"/>
      <c r="G62" s="130"/>
      <c r="H62" s="130"/>
      <c r="I62" s="130"/>
      <c r="J62" s="130"/>
      <c r="K62" s="130"/>
      <c r="L62" s="130"/>
      <c r="M62" s="130"/>
      <c r="N62" s="130"/>
    </row>
    <row r="63" spans="1:14" ht="12.75">
      <c r="A63" s="136"/>
      <c r="B63" s="154"/>
      <c r="C63" s="154"/>
      <c r="D63" s="154"/>
      <c r="E63" s="125"/>
      <c r="F63" s="130"/>
      <c r="G63" s="130"/>
      <c r="H63" s="130"/>
      <c r="I63" s="130"/>
      <c r="J63" s="130"/>
      <c r="K63" s="130"/>
      <c r="L63" s="130"/>
      <c r="M63" s="130"/>
      <c r="N63" s="130"/>
    </row>
    <row r="64" spans="1:14" ht="12.75">
      <c r="A64" s="136"/>
      <c r="B64" s="154"/>
      <c r="C64" s="154"/>
      <c r="D64" s="154"/>
      <c r="E64" s="125"/>
      <c r="F64" s="130"/>
      <c r="G64" s="130"/>
      <c r="H64" s="130"/>
      <c r="I64" s="130"/>
      <c r="J64" s="130"/>
      <c r="K64" s="130"/>
      <c r="L64" s="130"/>
      <c r="M64" s="130"/>
      <c r="N64" s="130"/>
    </row>
    <row r="65" spans="1:14" ht="12.75">
      <c r="A65" s="136"/>
      <c r="B65" s="154"/>
      <c r="C65" s="154"/>
      <c r="D65" s="154"/>
      <c r="E65" s="125"/>
      <c r="F65" s="130"/>
      <c r="G65" s="130"/>
      <c r="H65" s="130"/>
      <c r="I65" s="130"/>
      <c r="J65" s="130"/>
      <c r="K65" s="130"/>
      <c r="L65" s="130"/>
      <c r="M65" s="130"/>
      <c r="N65" s="130"/>
    </row>
    <row r="66" spans="1:14" ht="12.75">
      <c r="A66" s="136"/>
      <c r="B66" s="154"/>
      <c r="C66" s="154"/>
      <c r="D66" s="154"/>
      <c r="E66" s="125"/>
      <c r="F66" s="130"/>
      <c r="G66" s="130"/>
      <c r="H66" s="130"/>
      <c r="I66" s="130"/>
      <c r="J66" s="130"/>
      <c r="K66" s="130"/>
      <c r="L66" s="130"/>
      <c r="M66" s="130"/>
      <c r="N66" s="130"/>
    </row>
    <row r="67" spans="1:14" ht="12.75">
      <c r="A67" s="136"/>
      <c r="B67" s="125"/>
      <c r="C67" s="125"/>
      <c r="D67" s="125"/>
      <c r="E67" s="125"/>
      <c r="F67" s="130"/>
      <c r="G67" s="130"/>
      <c r="H67" s="130"/>
      <c r="I67" s="130"/>
      <c r="J67" s="130"/>
      <c r="K67" s="130"/>
      <c r="L67" s="130"/>
      <c r="M67" s="130"/>
      <c r="N67" s="130"/>
    </row>
    <row r="68" spans="2:14" ht="12.75"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</row>
    <row r="69" spans="2:14" ht="12.75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</row>
    <row r="70" spans="2:14" ht="12.75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</row>
    <row r="71" spans="2:14" ht="12.75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</row>
    <row r="72" spans="2:14" ht="12.75"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</row>
    <row r="73" spans="2:14" ht="12.75"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</row>
    <row r="74" spans="2:14" ht="12.75"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</row>
    <row r="75" spans="2:14" ht="12.75"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</row>
    <row r="76" spans="2:14" ht="12.75"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</row>
    <row r="77" spans="2:14" ht="12.75"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</row>
    <row r="78" spans="2:14" ht="12.75"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</row>
    <row r="79" spans="2:14" ht="12.75"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</row>
    <row r="80" spans="2:14" ht="12.75"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</row>
    <row r="81" spans="2:14" ht="12.75">
      <c r="B81" s="130"/>
      <c r="C81" s="130"/>
      <c r="D81" s="130"/>
      <c r="E81" s="130"/>
      <c r="F81" s="130"/>
      <c r="G81" s="130"/>
      <c r="H81" s="130"/>
      <c r="I81" s="130"/>
      <c r="J81" s="125"/>
      <c r="K81" s="125"/>
      <c r="L81" s="125"/>
      <c r="M81" s="130"/>
      <c r="N81" s="130"/>
    </row>
    <row r="82" spans="2:14" ht="12.75">
      <c r="B82" s="130"/>
      <c r="C82" s="130"/>
      <c r="D82" s="130"/>
      <c r="E82" s="130"/>
      <c r="F82" s="130"/>
      <c r="G82" s="130"/>
      <c r="H82" s="130"/>
      <c r="I82" s="130"/>
      <c r="J82" s="152"/>
      <c r="K82" s="152"/>
      <c r="L82" s="152"/>
      <c r="M82" s="130"/>
      <c r="N82" s="130"/>
    </row>
    <row r="83" spans="2:14" ht="12.75">
      <c r="B83" s="130"/>
      <c r="C83" s="130"/>
      <c r="D83" s="130"/>
      <c r="E83" s="130"/>
      <c r="F83" s="130"/>
      <c r="G83" s="130"/>
      <c r="H83" s="130"/>
      <c r="I83" s="130"/>
      <c r="J83" s="152"/>
      <c r="K83" s="152"/>
      <c r="L83" s="152"/>
      <c r="M83" s="130"/>
      <c r="N83" s="130"/>
    </row>
    <row r="90" spans="11:14" ht="12.75">
      <c r="K90" s="136"/>
      <c r="L90" s="136"/>
      <c r="M90" s="136"/>
      <c r="N90" s="136"/>
    </row>
    <row r="91" spans="11:14" ht="11.25" customHeight="1">
      <c r="K91" s="136"/>
      <c r="L91" s="136"/>
      <c r="M91" s="136"/>
      <c r="N91" s="136"/>
    </row>
    <row r="92" spans="11:14" ht="12.75">
      <c r="K92" s="136"/>
      <c r="L92" s="136"/>
      <c r="M92" s="136"/>
      <c r="N92" s="136"/>
    </row>
    <row r="93" ht="12.75">
      <c r="K93" s="136"/>
    </row>
    <row r="98" spans="12:14" ht="12.75">
      <c r="L98" s="136"/>
      <c r="M98" s="155"/>
      <c r="N98" s="155"/>
    </row>
    <row r="106" spans="2:14" ht="12.75">
      <c r="B106" s="136"/>
      <c r="C106" s="155"/>
      <c r="D106" s="136"/>
      <c r="E106" s="136"/>
      <c r="F106" s="136"/>
      <c r="G106" s="136"/>
      <c r="H106" s="136"/>
      <c r="I106" s="136"/>
      <c r="J106" s="136"/>
      <c r="K106" s="136"/>
      <c r="L106" s="155"/>
      <c r="M106" s="136"/>
      <c r="N106" s="136"/>
    </row>
    <row r="107" spans="2:14" ht="12.75">
      <c r="B107" s="13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</row>
    <row r="108" spans="2:14" ht="12.75">
      <c r="B108" s="13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</row>
    <row r="109" spans="2:14" ht="12.75">
      <c r="B109" s="155"/>
      <c r="C109" s="157"/>
      <c r="D109" s="157"/>
      <c r="E109" s="157"/>
      <c r="F109" s="157"/>
      <c r="G109" s="157"/>
      <c r="H109" s="157"/>
      <c r="I109" s="157"/>
      <c r="J109" s="157"/>
      <c r="K109" s="155"/>
      <c r="L109" s="157"/>
      <c r="M109" s="157"/>
      <c r="N109" s="157"/>
    </row>
    <row r="110" spans="2:14" ht="12.75">
      <c r="B110" s="155"/>
      <c r="C110" s="157"/>
      <c r="D110" s="157"/>
      <c r="E110" s="157"/>
      <c r="F110" s="157"/>
      <c r="G110" s="157"/>
      <c r="H110" s="157"/>
      <c r="I110" s="157"/>
      <c r="J110" s="157"/>
      <c r="K110" s="155"/>
      <c r="L110" s="157"/>
      <c r="M110" s="157"/>
      <c r="N110" s="157"/>
    </row>
    <row r="111" spans="2:14" ht="12.75">
      <c r="B111" s="155"/>
      <c r="H111" s="157"/>
      <c r="I111" s="157"/>
      <c r="J111" s="157"/>
      <c r="K111" s="155"/>
      <c r="M111" s="157"/>
      <c r="N111" s="157"/>
    </row>
    <row r="112" spans="2:14" ht="12.75">
      <c r="B112" s="136"/>
      <c r="C112" s="157"/>
      <c r="D112" s="157"/>
      <c r="E112" s="157"/>
      <c r="F112" s="157"/>
      <c r="G112" s="157"/>
      <c r="H112" s="136"/>
      <c r="I112" s="136"/>
      <c r="J112" s="136"/>
      <c r="K112" s="136"/>
      <c r="L112" s="157"/>
      <c r="M112" s="136"/>
      <c r="N112" s="136"/>
    </row>
    <row r="113" spans="2:14" ht="12.75"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</row>
    <row r="114" spans="2:14" ht="12.75"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</row>
    <row r="115" spans="2:14" ht="12.75"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</row>
    <row r="116" spans="4:14" ht="12.75">
      <c r="D116" s="136"/>
      <c r="F116" s="136"/>
      <c r="G116" s="136"/>
      <c r="H116" s="136"/>
      <c r="I116" s="136"/>
      <c r="J116" s="136"/>
      <c r="K116" s="136"/>
      <c r="L116" s="136"/>
      <c r="M116" s="136"/>
      <c r="N116" s="136"/>
    </row>
    <row r="117" spans="2:14" ht="12.75"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</row>
    <row r="118" spans="2:14" ht="12.75">
      <c r="B118" s="136"/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</row>
    <row r="119" spans="2:14" ht="12.75"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</row>
    <row r="120" spans="2:14" ht="12.75"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</row>
    <row r="121" spans="2:14" ht="12.75"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</row>
    <row r="122" spans="11:14" ht="12.75">
      <c r="K122" s="136"/>
      <c r="L122" s="136"/>
      <c r="M122" s="136"/>
      <c r="N122" s="136"/>
    </row>
    <row r="123" spans="11:14" ht="13.5" customHeight="1">
      <c r="K123" s="136"/>
      <c r="L123" s="136"/>
      <c r="M123" s="136"/>
      <c r="N123" s="136"/>
    </row>
    <row r="124" spans="11:14" ht="12.75" customHeight="1">
      <c r="K124" s="136"/>
      <c r="L124" s="136"/>
      <c r="M124" s="136"/>
      <c r="N124" s="136"/>
    </row>
    <row r="125" spans="11:14" ht="14.25" customHeight="1">
      <c r="K125" s="136"/>
      <c r="L125" s="136"/>
      <c r="M125" s="136"/>
      <c r="N125" s="136"/>
    </row>
    <row r="126" spans="11:14" ht="12.75">
      <c r="K126" s="136"/>
      <c r="L126" s="136"/>
      <c r="M126" s="136"/>
      <c r="N126" s="136"/>
    </row>
    <row r="127" spans="11:14" ht="12.75">
      <c r="K127" s="136"/>
      <c r="L127" s="136"/>
      <c r="M127" s="136"/>
      <c r="N127" s="136"/>
    </row>
    <row r="128" spans="11:14" ht="12.75">
      <c r="K128" s="136"/>
      <c r="L128" s="136"/>
      <c r="M128" s="136"/>
      <c r="N128" s="136"/>
    </row>
    <row r="129" spans="11:14" ht="12.75">
      <c r="K129" s="136"/>
      <c r="L129" s="136"/>
      <c r="M129" s="136"/>
      <c r="N129" s="136"/>
    </row>
    <row r="130" spans="11:14" ht="12.75">
      <c r="K130" s="136"/>
      <c r="L130" s="136"/>
      <c r="M130" s="136"/>
      <c r="N130" s="136"/>
    </row>
    <row r="131" spans="11:14" ht="12.75">
      <c r="K131" s="136"/>
      <c r="L131" s="136"/>
      <c r="M131" s="136"/>
      <c r="N131" s="136"/>
    </row>
    <row r="132" spans="11:14" ht="12.75">
      <c r="K132" s="136"/>
      <c r="L132" s="136"/>
      <c r="M132" s="136"/>
      <c r="N132" s="136"/>
    </row>
    <row r="133" spans="11:14" ht="12.75">
      <c r="K133" s="136"/>
      <c r="L133" s="136"/>
      <c r="M133" s="136"/>
      <c r="N133" s="136"/>
    </row>
    <row r="134" spans="11:14" ht="12.75">
      <c r="K134" s="136"/>
      <c r="L134" s="136"/>
      <c r="M134" s="136"/>
      <c r="N134" s="136"/>
    </row>
    <row r="135" spans="11:14" ht="12.75">
      <c r="K135" s="136"/>
      <c r="L135" s="136"/>
      <c r="M135" s="136"/>
      <c r="N135" s="136"/>
    </row>
    <row r="136" spans="11:14" ht="12.75">
      <c r="K136" s="136"/>
      <c r="L136" s="136"/>
      <c r="M136" s="136"/>
      <c r="N136" s="136"/>
    </row>
    <row r="137" spans="11:14" ht="12.75">
      <c r="K137" s="136"/>
      <c r="L137" s="136"/>
      <c r="M137" s="136"/>
      <c r="N137" s="136"/>
    </row>
    <row r="138" spans="11:14" ht="12.75">
      <c r="K138" s="136"/>
      <c r="L138" s="136"/>
      <c r="M138" s="136"/>
      <c r="N138" s="136"/>
    </row>
    <row r="139" spans="11:14" ht="12.75">
      <c r="K139" s="136"/>
      <c r="L139" s="136"/>
      <c r="M139" s="155"/>
      <c r="N139" s="155"/>
    </row>
    <row r="140" spans="11:14" ht="12.75">
      <c r="K140" s="136"/>
      <c r="L140" s="136"/>
      <c r="M140" s="136"/>
      <c r="N140" s="136"/>
    </row>
    <row r="141" spans="11:14" ht="12.75">
      <c r="K141" s="136"/>
      <c r="L141" s="136"/>
      <c r="M141" s="136"/>
      <c r="N141" s="136"/>
    </row>
    <row r="142" spans="11:14" ht="12.75">
      <c r="K142" s="136"/>
      <c r="L142" s="136"/>
      <c r="M142" s="136"/>
      <c r="N142" s="136"/>
    </row>
    <row r="143" spans="11:14" ht="12.75">
      <c r="K143" s="136"/>
      <c r="L143" s="136"/>
      <c r="M143" s="136"/>
      <c r="N143" s="136"/>
    </row>
    <row r="144" spans="11:14" ht="12.75">
      <c r="K144" s="136"/>
      <c r="L144" s="136"/>
      <c r="M144" s="136"/>
      <c r="N144" s="136"/>
    </row>
    <row r="145" spans="11:14" ht="12.75">
      <c r="K145" s="136"/>
      <c r="L145" s="136"/>
      <c r="M145" s="136"/>
      <c r="N145" s="136"/>
    </row>
    <row r="146" spans="11:14" ht="12.75">
      <c r="K146" s="136"/>
      <c r="L146" s="136"/>
      <c r="M146" s="136"/>
      <c r="N146" s="136"/>
    </row>
    <row r="147" spans="11:14" ht="12.75">
      <c r="K147" s="136"/>
      <c r="L147" s="136"/>
      <c r="M147" s="136"/>
      <c r="N147" s="136"/>
    </row>
    <row r="148" spans="11:14" ht="12.75">
      <c r="K148" s="136"/>
      <c r="L148" s="136"/>
      <c r="M148" s="136"/>
      <c r="N148" s="136"/>
    </row>
    <row r="149" spans="11:14" ht="12.75">
      <c r="K149" s="136"/>
      <c r="L149" s="136"/>
      <c r="M149" s="136"/>
      <c r="N149" s="136"/>
    </row>
    <row r="150" spans="11:14" ht="12.75">
      <c r="K150" s="136"/>
      <c r="L150" s="136"/>
      <c r="M150" s="136"/>
      <c r="N150" s="136"/>
    </row>
    <row r="151" spans="11:14" ht="12.75">
      <c r="K151" s="136"/>
      <c r="L151" s="136"/>
      <c r="M151" s="136"/>
      <c r="N151" s="136"/>
    </row>
    <row r="152" spans="11:14" ht="12.75">
      <c r="K152" s="136"/>
      <c r="L152" s="136"/>
      <c r="M152" s="136"/>
      <c r="N152" s="136"/>
    </row>
    <row r="153" spans="11:14" ht="12.75">
      <c r="K153" s="136"/>
      <c r="L153" s="136"/>
      <c r="M153" s="136"/>
      <c r="N153" s="136"/>
    </row>
    <row r="154" spans="11:14" ht="12.75">
      <c r="K154" s="136"/>
      <c r="L154" s="136"/>
      <c r="M154" s="136"/>
      <c r="N154" s="136"/>
    </row>
  </sheetData>
  <sheetProtection/>
  <mergeCells count="7">
    <mergeCell ref="C28:F28"/>
    <mergeCell ref="C29:F29"/>
    <mergeCell ref="C30:F30"/>
    <mergeCell ref="B2:H2"/>
    <mergeCell ref="J2:L2"/>
    <mergeCell ref="B9:H9"/>
    <mergeCell ref="C16:D16"/>
  </mergeCells>
  <conditionalFormatting sqref="E23">
    <cfRule type="expression" priority="1" dxfId="12" stopIfTrue="1">
      <formula>$C$23&lt;$D$23</formula>
    </cfRule>
    <cfRule type="expression" priority="2" dxfId="0" stopIfTrue="1">
      <formula>$C$23&gt;=$D$23</formula>
    </cfRule>
  </conditionalFormatting>
  <conditionalFormatting sqref="E24">
    <cfRule type="expression" priority="3" dxfId="12" stopIfTrue="1">
      <formula>$C$24&lt;$D$24</formula>
    </cfRule>
    <cfRule type="expression" priority="4" dxfId="0" stopIfTrue="1">
      <formula>$C$24&gt;=$D$24</formula>
    </cfRule>
  </conditionalFormatting>
  <conditionalFormatting sqref="E25">
    <cfRule type="expression" priority="5" dxfId="12" stopIfTrue="1">
      <formula>$C$25&lt;$D$25</formula>
    </cfRule>
    <cfRule type="expression" priority="6" dxfId="0" stopIfTrue="1">
      <formula>$C$25&gt;=$D$25</formula>
    </cfRule>
  </conditionalFormatting>
  <printOptions gridLines="1"/>
  <pageMargins left="0.75" right="0.75" top="1" bottom="1" header="0.5" footer="0.5"/>
  <pageSetup fitToHeight="1" fitToWidth="1" horizontalDpi="300" verticalDpi="300" orientation="landscape" paperSize="9" scale="95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29.7109375" style="0" customWidth="1"/>
    <col min="2" max="2" width="40.140625" style="0" customWidth="1"/>
    <col min="4" max="4" width="15.8515625" style="0" customWidth="1"/>
  </cols>
  <sheetData>
    <row r="1" spans="1:15" ht="13.5" thickBot="1">
      <c r="A1" s="206" t="s">
        <v>131</v>
      </c>
      <c r="B1" t="s">
        <v>130</v>
      </c>
      <c r="C1" s="129"/>
      <c r="D1" s="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205" t="s">
        <v>120</v>
      </c>
    </row>
    <row r="2" spans="1:15" ht="15" customHeight="1" thickBot="1">
      <c r="A2" t="s">
        <v>128</v>
      </c>
      <c r="C2" s="129"/>
      <c r="D2" s="387" t="s">
        <v>24</v>
      </c>
      <c r="E2" s="388"/>
      <c r="F2" s="388"/>
      <c r="G2" s="388"/>
      <c r="H2" s="388"/>
      <c r="I2" s="388"/>
      <c r="J2" s="389"/>
      <c r="K2" s="131"/>
      <c r="L2" s="379" t="s">
        <v>61</v>
      </c>
      <c r="M2" s="380"/>
      <c r="N2" s="381"/>
      <c r="O2" s="131"/>
    </row>
    <row r="3" spans="1:15" ht="13.5" thickBot="1">
      <c r="A3" t="s">
        <v>129</v>
      </c>
      <c r="C3" s="129"/>
      <c r="D3" s="132" t="s">
        <v>93</v>
      </c>
      <c r="E3" s="177">
        <v>0.05</v>
      </c>
      <c r="F3" s="178">
        <v>0.1</v>
      </c>
      <c r="G3" s="178">
        <v>0.15</v>
      </c>
      <c r="H3" s="178">
        <v>0.2</v>
      </c>
      <c r="I3" s="178">
        <v>0.25</v>
      </c>
      <c r="J3" s="179"/>
      <c r="K3" s="123"/>
      <c r="L3" s="129"/>
      <c r="M3" s="129"/>
      <c r="N3" s="129"/>
      <c r="O3" s="130"/>
    </row>
    <row r="4" spans="1:15" ht="12.75">
      <c r="A4" s="9" t="s">
        <v>127</v>
      </c>
      <c r="C4" s="129"/>
      <c r="D4" s="158" t="s">
        <v>3</v>
      </c>
      <c r="E4" s="161">
        <v>3.5</v>
      </c>
      <c r="F4" s="2">
        <v>5</v>
      </c>
      <c r="G4" s="2">
        <v>6.2</v>
      </c>
      <c r="H4" s="2">
        <v>8</v>
      </c>
      <c r="I4" s="2">
        <v>9.4</v>
      </c>
      <c r="J4" s="121"/>
      <c r="K4" s="123"/>
      <c r="L4" s="135" t="s">
        <v>14</v>
      </c>
      <c r="M4" s="134"/>
      <c r="N4" s="171">
        <v>1.5</v>
      </c>
      <c r="O4" s="130"/>
    </row>
    <row r="5" spans="1:15" ht="12.75">
      <c r="A5" s="9" t="s">
        <v>116</v>
      </c>
      <c r="C5" s="129"/>
      <c r="D5" s="159"/>
      <c r="E5" s="161">
        <v>3.2</v>
      </c>
      <c r="F5" s="2">
        <v>4.7</v>
      </c>
      <c r="G5" s="2">
        <v>6.1</v>
      </c>
      <c r="H5" s="2">
        <v>7.7</v>
      </c>
      <c r="I5" s="2">
        <v>9.5</v>
      </c>
      <c r="J5" s="121"/>
      <c r="K5" s="123"/>
      <c r="L5" s="138"/>
      <c r="M5" s="137"/>
      <c r="N5" s="172">
        <v>1.4</v>
      </c>
      <c r="O5" s="125"/>
    </row>
    <row r="6" spans="1:15" ht="12.75">
      <c r="A6" s="7" t="s">
        <v>126</v>
      </c>
      <c r="C6" s="129"/>
      <c r="D6" s="159"/>
      <c r="E6" s="161"/>
      <c r="F6" s="2"/>
      <c r="G6" s="2"/>
      <c r="H6" s="2"/>
      <c r="I6" s="2"/>
      <c r="J6" s="121"/>
      <c r="K6" s="123"/>
      <c r="L6" s="138"/>
      <c r="M6" s="137"/>
      <c r="N6" s="172"/>
      <c r="O6" s="125"/>
    </row>
    <row r="7" spans="1:15" ht="13.5" thickBot="1">
      <c r="A7" s="9"/>
      <c r="C7" s="129"/>
      <c r="D7" s="160"/>
      <c r="E7" s="162"/>
      <c r="F7" s="128"/>
      <c r="G7" s="128"/>
      <c r="H7" s="128"/>
      <c r="I7" s="128"/>
      <c r="J7" s="122"/>
      <c r="K7" s="123"/>
      <c r="L7" s="140"/>
      <c r="M7" s="139"/>
      <c r="N7" s="173"/>
      <c r="O7" s="125"/>
    </row>
    <row r="8" spans="3:15" ht="13.5" thickBot="1">
      <c r="C8" s="129"/>
      <c r="D8" s="129"/>
      <c r="E8" s="129"/>
      <c r="F8" s="129"/>
      <c r="G8" s="129"/>
      <c r="H8" s="129"/>
      <c r="I8" s="129"/>
      <c r="J8" s="129"/>
      <c r="K8" s="141"/>
      <c r="L8" s="129"/>
      <c r="M8" s="129"/>
      <c r="N8" s="129"/>
      <c r="O8" s="125"/>
    </row>
    <row r="9" spans="3:15" ht="14.25" customHeight="1" thickBot="1">
      <c r="C9" s="129"/>
      <c r="D9" s="382" t="s">
        <v>69</v>
      </c>
      <c r="E9" s="383"/>
      <c r="F9" s="383"/>
      <c r="G9" s="383"/>
      <c r="H9" s="383"/>
      <c r="I9" s="383"/>
      <c r="J9" s="384"/>
      <c r="K9" s="141"/>
      <c r="L9" s="129"/>
      <c r="M9" s="129"/>
      <c r="N9" s="129"/>
      <c r="O9" s="130"/>
    </row>
    <row r="10" spans="3:15" ht="13.5" thickBot="1">
      <c r="C10" s="129"/>
      <c r="D10" s="142" t="s">
        <v>5</v>
      </c>
      <c r="E10" s="177">
        <v>1</v>
      </c>
      <c r="F10" s="178">
        <v>1.5</v>
      </c>
      <c r="G10" s="178">
        <v>2</v>
      </c>
      <c r="H10" s="178"/>
      <c r="I10" s="178"/>
      <c r="J10" s="179"/>
      <c r="K10" s="141"/>
      <c r="L10" s="129"/>
      <c r="M10" s="129"/>
      <c r="N10" s="129"/>
      <c r="O10" s="130"/>
    </row>
    <row r="11" spans="3:15" ht="12.75">
      <c r="C11" s="129"/>
      <c r="D11" s="126" t="s">
        <v>4</v>
      </c>
      <c r="E11" s="161">
        <v>4.9</v>
      </c>
      <c r="F11" s="2">
        <v>6.3</v>
      </c>
      <c r="G11" s="2">
        <v>7.7</v>
      </c>
      <c r="H11" s="2"/>
      <c r="I11" s="2"/>
      <c r="J11" s="121"/>
      <c r="K11" s="141"/>
      <c r="L11" s="129"/>
      <c r="M11" s="129"/>
      <c r="N11" s="129"/>
      <c r="O11" s="143"/>
    </row>
    <row r="12" spans="3:15" ht="12.75">
      <c r="C12" s="129"/>
      <c r="D12" s="124"/>
      <c r="E12" s="161">
        <v>4.8</v>
      </c>
      <c r="F12" s="2">
        <v>6.5</v>
      </c>
      <c r="G12" s="2">
        <v>7.7</v>
      </c>
      <c r="H12" s="2"/>
      <c r="I12" s="2"/>
      <c r="J12" s="121"/>
      <c r="K12" s="141"/>
      <c r="L12" s="129"/>
      <c r="M12" s="129"/>
      <c r="N12" s="129"/>
      <c r="O12" s="143"/>
    </row>
    <row r="13" spans="3:15" ht="12.75">
      <c r="C13" s="129"/>
      <c r="D13" s="124"/>
      <c r="E13" s="161"/>
      <c r="F13" s="2"/>
      <c r="G13" s="2"/>
      <c r="H13" s="2"/>
      <c r="I13" s="2"/>
      <c r="J13" s="121"/>
      <c r="K13" s="141"/>
      <c r="L13" s="129"/>
      <c r="M13" s="129"/>
      <c r="N13" s="129"/>
      <c r="O13" s="143"/>
    </row>
    <row r="14" spans="3:15" ht="13.5" thickBot="1">
      <c r="C14" s="129"/>
      <c r="D14" s="127"/>
      <c r="E14" s="162"/>
      <c r="F14" s="128"/>
      <c r="G14" s="128"/>
      <c r="H14" s="128"/>
      <c r="I14" s="128"/>
      <c r="J14" s="122"/>
      <c r="K14" s="141"/>
      <c r="L14" s="129"/>
      <c r="M14" s="129"/>
      <c r="N14" s="129"/>
      <c r="O14" s="143"/>
    </row>
    <row r="15" spans="3:15" ht="13.5" thickBot="1">
      <c r="C15" s="129"/>
      <c r="D15" s="129"/>
      <c r="E15" s="129"/>
      <c r="F15" s="129"/>
      <c r="G15" s="129"/>
      <c r="H15" s="129"/>
      <c r="I15" s="129"/>
      <c r="J15" s="129"/>
      <c r="K15" s="144"/>
      <c r="L15" s="129"/>
      <c r="M15" s="129"/>
      <c r="N15" s="129"/>
      <c r="O15" s="143"/>
    </row>
    <row r="16" spans="3:15" ht="12.75">
      <c r="C16" s="129"/>
      <c r="D16" s="169" t="s">
        <v>124</v>
      </c>
      <c r="E16" s="390"/>
      <c r="F16" s="391"/>
      <c r="G16" s="145"/>
      <c r="H16" s="145"/>
      <c r="I16" s="129"/>
      <c r="J16" s="129"/>
      <c r="K16" s="144"/>
      <c r="L16" s="129"/>
      <c r="M16" s="129"/>
      <c r="N16" s="129"/>
      <c r="O16" s="143"/>
    </row>
    <row r="17" spans="3:15" ht="13.5" thickBot="1">
      <c r="C17" s="129"/>
      <c r="D17" s="170" t="s">
        <v>25</v>
      </c>
      <c r="E17" s="162">
        <v>1</v>
      </c>
      <c r="F17" s="122"/>
      <c r="G17" s="145"/>
      <c r="H17" s="145"/>
      <c r="I17" s="129"/>
      <c r="J17" s="129"/>
      <c r="K17" s="145"/>
      <c r="L17" s="129"/>
      <c r="M17" s="129"/>
      <c r="N17" s="129"/>
      <c r="O17" s="143"/>
    </row>
    <row r="18" spans="3:15" ht="13.5" thickBot="1">
      <c r="C18" s="129"/>
      <c r="D18" s="146"/>
      <c r="E18" s="147"/>
      <c r="F18" s="145"/>
      <c r="G18" s="145"/>
      <c r="H18" s="145"/>
      <c r="I18" s="129"/>
      <c r="J18" s="129"/>
      <c r="K18" s="145"/>
      <c r="L18" s="129"/>
      <c r="M18" s="129"/>
      <c r="N18" s="129"/>
      <c r="O18" s="143"/>
    </row>
    <row r="19" spans="3:15" ht="12.75">
      <c r="C19" s="129"/>
      <c r="D19" s="174" t="s">
        <v>123</v>
      </c>
      <c r="E19" s="129"/>
      <c r="F19" s="197" t="s">
        <v>25</v>
      </c>
      <c r="G19" s="163">
        <v>-0.95</v>
      </c>
      <c r="H19" s="164">
        <v>0.95</v>
      </c>
      <c r="I19" s="129"/>
      <c r="J19" s="129"/>
      <c r="K19" s="145"/>
      <c r="L19" s="129"/>
      <c r="M19" s="129"/>
      <c r="N19" s="129"/>
      <c r="O19" s="143"/>
    </row>
    <row r="20" spans="3:15" ht="16.5" thickBot="1">
      <c r="C20" s="129"/>
      <c r="D20" s="175">
        <v>5000</v>
      </c>
      <c r="E20" s="129"/>
      <c r="F20" s="204">
        <v>495.82268802566045</v>
      </c>
      <c r="G20" s="198">
        <v>478.7254921839454</v>
      </c>
      <c r="H20" s="199">
        <v>513.1017911294721</v>
      </c>
      <c r="I20" s="129"/>
      <c r="J20" s="129"/>
      <c r="K20" s="145"/>
      <c r="L20" s="129"/>
      <c r="M20" s="129"/>
      <c r="N20" s="129"/>
      <c r="O20" s="143"/>
    </row>
    <row r="21" spans="3:15" ht="13.5" thickBot="1">
      <c r="C21" s="136"/>
      <c r="D21" s="129"/>
      <c r="E21" s="129"/>
      <c r="F21" s="129"/>
      <c r="G21" s="129"/>
      <c r="H21" s="129"/>
      <c r="I21" s="129"/>
      <c r="J21" s="129" t="s">
        <v>125</v>
      </c>
      <c r="K21" s="145"/>
      <c r="L21" s="129"/>
      <c r="M21" s="129"/>
      <c r="N21" s="129"/>
      <c r="O21" s="130"/>
    </row>
    <row r="22" spans="3:15" ht="12.75">
      <c r="C22" s="136"/>
      <c r="D22" s="135"/>
      <c r="E22" s="203" t="s">
        <v>121</v>
      </c>
      <c r="F22" s="203" t="s">
        <v>122</v>
      </c>
      <c r="G22" s="134"/>
      <c r="H22" s="129"/>
      <c r="I22" s="129"/>
      <c r="J22" s="129"/>
      <c r="K22" s="145"/>
      <c r="L22" s="129"/>
      <c r="M22" s="129"/>
      <c r="N22" s="129"/>
      <c r="O22" s="130"/>
    </row>
    <row r="23" spans="3:15" ht="12.75">
      <c r="C23" s="136"/>
      <c r="D23" s="176" t="s">
        <v>61</v>
      </c>
      <c r="E23" s="149">
        <v>7.441165329050517</v>
      </c>
      <c r="F23" s="148">
        <v>5.117357204653672</v>
      </c>
      <c r="G23" s="200" t="s">
        <v>59</v>
      </c>
      <c r="H23" s="129"/>
      <c r="I23" s="129"/>
      <c r="J23" s="129"/>
      <c r="K23" s="145"/>
      <c r="L23" s="129"/>
      <c r="M23" s="129"/>
      <c r="N23" s="129"/>
      <c r="O23" s="130"/>
    </row>
    <row r="24" spans="3:15" ht="12.75">
      <c r="C24" s="129"/>
      <c r="D24" s="165" t="s">
        <v>63</v>
      </c>
      <c r="E24" s="149">
        <v>1.2857142857147361</v>
      </c>
      <c r="F24" s="148">
        <v>5.117357204653672</v>
      </c>
      <c r="G24" s="201" t="s">
        <v>117</v>
      </c>
      <c r="H24" s="129"/>
      <c r="I24" s="145"/>
      <c r="J24" s="145"/>
      <c r="K24" s="145"/>
      <c r="L24" s="129"/>
      <c r="M24" s="129"/>
      <c r="N24" s="129"/>
      <c r="O24" s="130"/>
    </row>
    <row r="25" spans="3:15" ht="13.5" thickBot="1">
      <c r="C25" s="129"/>
      <c r="D25" s="166" t="s">
        <v>62</v>
      </c>
      <c r="E25" s="167">
        <v>1.4</v>
      </c>
      <c r="F25" s="168">
        <v>3.6330902730696835</v>
      </c>
      <c r="G25" s="202" t="s">
        <v>117</v>
      </c>
      <c r="H25" s="129"/>
      <c r="I25" s="145"/>
      <c r="J25" s="145"/>
      <c r="K25" s="145"/>
      <c r="L25" s="129"/>
      <c r="M25" s="129"/>
      <c r="N25" s="129"/>
      <c r="O25" s="130"/>
    </row>
    <row r="26" spans="3:15" ht="13.5" thickBot="1">
      <c r="C26" s="129"/>
      <c r="D26" s="130"/>
      <c r="E26" s="130"/>
      <c r="F26" s="130"/>
      <c r="G26" s="145"/>
      <c r="H26" s="145"/>
      <c r="I26" s="150"/>
      <c r="J26" s="150"/>
      <c r="K26" s="150"/>
      <c r="L26" s="129"/>
      <c r="M26" s="129"/>
      <c r="N26" s="129"/>
      <c r="O26" s="130"/>
    </row>
    <row r="27" spans="3:15" ht="12.75">
      <c r="C27" s="129"/>
      <c r="D27" s="180" t="s">
        <v>118</v>
      </c>
      <c r="E27" s="133"/>
      <c r="F27" s="181"/>
      <c r="G27" s="182"/>
      <c r="H27" s="183"/>
      <c r="I27" s="145"/>
      <c r="J27" s="145"/>
      <c r="K27" s="145"/>
      <c r="L27" s="129"/>
      <c r="M27" s="129"/>
      <c r="N27" s="129"/>
      <c r="O27" s="130"/>
    </row>
    <row r="28" spans="3:15" ht="12.75">
      <c r="C28" s="129"/>
      <c r="D28" s="184" t="s">
        <v>119</v>
      </c>
      <c r="E28" s="136"/>
      <c r="F28" s="185"/>
      <c r="G28" s="186"/>
      <c r="H28" s="187"/>
      <c r="I28" s="145"/>
      <c r="J28" s="145"/>
      <c r="K28" s="145"/>
      <c r="L28" s="129"/>
      <c r="M28" s="129"/>
      <c r="N28" s="129"/>
      <c r="O28" s="130"/>
    </row>
    <row r="29" spans="3:15" ht="12.75">
      <c r="C29" s="129"/>
      <c r="D29" s="188"/>
      <c r="E29" s="189"/>
      <c r="F29" s="190"/>
      <c r="G29" s="190"/>
      <c r="H29" s="191"/>
      <c r="I29" s="130"/>
      <c r="J29" s="130"/>
      <c r="K29" s="130"/>
      <c r="L29" s="129"/>
      <c r="M29" s="129"/>
      <c r="N29" s="129"/>
      <c r="O29" s="130"/>
    </row>
    <row r="30" spans="3:15" ht="13.5" thickBot="1">
      <c r="C30" s="129"/>
      <c r="D30" s="192"/>
      <c r="E30" s="193"/>
      <c r="F30" s="194"/>
      <c r="G30" s="195"/>
      <c r="H30" s="196"/>
      <c r="I30" s="130"/>
      <c r="J30" s="130"/>
      <c r="K30" s="130"/>
      <c r="L30" s="129"/>
      <c r="M30" s="129"/>
      <c r="N30" s="129"/>
      <c r="O30" s="130"/>
    </row>
    <row r="31" spans="3:15" ht="12.75">
      <c r="C31" s="129"/>
      <c r="D31" s="129"/>
      <c r="E31" s="129"/>
      <c r="F31" s="129"/>
      <c r="G31" s="129"/>
      <c r="H31" s="129"/>
      <c r="I31" s="150"/>
      <c r="J31" s="150"/>
      <c r="K31" s="150"/>
      <c r="L31" s="129"/>
      <c r="M31" s="129"/>
      <c r="N31" s="129"/>
      <c r="O31" s="130"/>
    </row>
    <row r="32" spans="3:15" ht="12.75">
      <c r="C32" s="129"/>
      <c r="D32" s="129"/>
      <c r="E32" s="129"/>
      <c r="F32" s="129"/>
      <c r="G32" s="129"/>
      <c r="H32" s="129"/>
      <c r="I32" s="130"/>
      <c r="J32" s="130"/>
      <c r="K32" s="130"/>
      <c r="L32" s="129"/>
      <c r="M32" s="129"/>
      <c r="N32" s="129"/>
      <c r="O32" s="130"/>
    </row>
    <row r="33" spans="3:15" ht="12.75">
      <c r="C33" s="129"/>
      <c r="D33" s="129" t="s">
        <v>115</v>
      </c>
      <c r="E33" s="129"/>
      <c r="F33" s="129"/>
      <c r="G33" s="129"/>
      <c r="H33" s="129"/>
      <c r="I33" s="130"/>
      <c r="J33" s="130"/>
      <c r="K33" s="130"/>
      <c r="L33" s="129"/>
      <c r="M33" s="129"/>
      <c r="N33" s="129"/>
      <c r="O33" s="130"/>
    </row>
    <row r="34" spans="3:15" ht="12.75">
      <c r="C34" s="129"/>
      <c r="D34" s="129" t="s">
        <v>127</v>
      </c>
      <c r="E34" s="129"/>
      <c r="F34" s="129"/>
      <c r="G34" s="129"/>
      <c r="H34" s="129"/>
      <c r="I34" s="130"/>
      <c r="J34" s="130"/>
      <c r="K34" s="130"/>
      <c r="L34" s="129"/>
      <c r="M34" s="129"/>
      <c r="N34" s="129"/>
      <c r="O34" s="130"/>
    </row>
    <row r="35" spans="3:15" ht="12.75">
      <c r="C35" s="129"/>
      <c r="D35" s="129" t="s">
        <v>116</v>
      </c>
      <c r="E35" s="130"/>
      <c r="F35" s="130"/>
      <c r="G35" s="130"/>
      <c r="H35" s="130"/>
      <c r="I35" s="130"/>
      <c r="J35" s="130"/>
      <c r="K35" s="130"/>
      <c r="L35" s="129"/>
      <c r="M35" s="129"/>
      <c r="N35" s="129"/>
      <c r="O35" s="130"/>
    </row>
    <row r="36" spans="3:15" ht="12.75">
      <c r="C36" s="129"/>
      <c r="D36" s="130" t="s">
        <v>126</v>
      </c>
      <c r="E36" s="130"/>
      <c r="F36" s="130"/>
      <c r="G36" s="130"/>
      <c r="H36" s="130"/>
      <c r="I36" s="130"/>
      <c r="J36" s="130"/>
      <c r="K36" s="130"/>
      <c r="L36" s="129"/>
      <c r="M36" s="129"/>
      <c r="N36" s="129"/>
      <c r="O36" s="130"/>
    </row>
  </sheetData>
  <sheetProtection/>
  <mergeCells count="4">
    <mergeCell ref="D2:J2"/>
    <mergeCell ref="L2:N2"/>
    <mergeCell ref="D9:J9"/>
    <mergeCell ref="E16:F16"/>
  </mergeCells>
  <conditionalFormatting sqref="G23">
    <cfRule type="expression" priority="1" dxfId="12" stopIfTrue="1">
      <formula>$E$23&lt;$F$23</formula>
    </cfRule>
    <cfRule type="expression" priority="2" dxfId="0" stopIfTrue="1">
      <formula>$E$23&gt;=$F$23</formula>
    </cfRule>
  </conditionalFormatting>
  <conditionalFormatting sqref="G24">
    <cfRule type="expression" priority="3" dxfId="12" stopIfTrue="1">
      <formula>$E$24&lt;$F$24</formula>
    </cfRule>
    <cfRule type="expression" priority="4" dxfId="0" stopIfTrue="1">
      <formula>$E$24&gt;=$F$24</formula>
    </cfRule>
  </conditionalFormatting>
  <conditionalFormatting sqref="G25">
    <cfRule type="expression" priority="5" dxfId="12" stopIfTrue="1">
      <formula>$E$25&lt;$F$25</formula>
    </cfRule>
    <cfRule type="expression" priority="6" dxfId="0" stopIfTrue="1">
      <formula>$E$25&gt;=$F$25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6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9.421875" style="0" customWidth="1"/>
    <col min="2" max="2" width="30.28125" style="0" bestFit="1" customWidth="1"/>
    <col min="3" max="3" width="12.7109375" style="0" customWidth="1"/>
    <col min="4" max="5" width="8.7109375" style="0" customWidth="1"/>
    <col min="6" max="6" width="28.421875" style="0" customWidth="1"/>
    <col min="7" max="8" width="8.7109375" style="0" customWidth="1"/>
    <col min="9" max="9" width="3.7109375" style="0" customWidth="1"/>
    <col min="10" max="10" width="21.28125" style="0" customWidth="1"/>
    <col min="15" max="15" width="21.28125" style="0" customWidth="1"/>
    <col min="20" max="20" width="21.28125" style="0" customWidth="1"/>
    <col min="25" max="25" width="21.28125" style="0" customWidth="1"/>
  </cols>
  <sheetData>
    <row r="1" spans="2:26" ht="12.75">
      <c r="B1" s="7"/>
      <c r="C1" s="7"/>
      <c r="D1" s="7"/>
      <c r="E1" s="7"/>
      <c r="F1" s="7"/>
      <c r="G1" s="7"/>
      <c r="H1" s="7"/>
      <c r="I1" s="7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2.75">
      <c r="I2" s="7"/>
    </row>
    <row r="3" ht="12.75">
      <c r="I3" s="7"/>
    </row>
    <row r="4" spans="9:26" ht="12.75">
      <c r="I4" s="7"/>
      <c r="J4" s="4"/>
      <c r="K4" s="2"/>
      <c r="L4" s="2"/>
      <c r="M4" s="2"/>
      <c r="N4" s="2"/>
      <c r="O4" s="4"/>
      <c r="P4" s="2"/>
      <c r="Q4" s="2"/>
      <c r="R4" s="2"/>
      <c r="S4" s="2"/>
      <c r="T4" s="4"/>
      <c r="U4" s="2"/>
      <c r="V4" s="2"/>
      <c r="W4" s="2"/>
      <c r="X4" s="2"/>
      <c r="Y4" s="4"/>
      <c r="Z4" s="2"/>
    </row>
    <row r="5" spans="9:26" ht="12.75">
      <c r="I5" s="7"/>
      <c r="J5" s="3"/>
      <c r="K5" s="2"/>
      <c r="L5" s="2"/>
      <c r="M5" s="2"/>
      <c r="N5" s="2"/>
      <c r="O5" s="3"/>
      <c r="P5" s="2"/>
      <c r="Q5" s="2"/>
      <c r="R5" s="2"/>
      <c r="S5" s="2"/>
      <c r="T5" s="3"/>
      <c r="U5" s="2"/>
      <c r="V5" s="2"/>
      <c r="W5" s="2"/>
      <c r="X5" s="2"/>
      <c r="Y5" s="3"/>
      <c r="Z5" s="2"/>
    </row>
    <row r="6" spans="9:26" ht="13.5" thickBot="1">
      <c r="I6" s="7"/>
      <c r="J6" s="2"/>
      <c r="K6" s="2"/>
      <c r="L6" s="6"/>
      <c r="M6" s="2"/>
      <c r="N6" s="2"/>
      <c r="O6" s="2"/>
      <c r="P6" s="2"/>
      <c r="Q6" s="6"/>
      <c r="R6" s="2"/>
      <c r="S6" s="2"/>
      <c r="T6" s="2"/>
      <c r="U6" s="2"/>
      <c r="V6" s="6"/>
      <c r="W6" s="2"/>
      <c r="X6" s="2"/>
      <c r="Y6" s="2"/>
      <c r="Z6" s="2"/>
    </row>
    <row r="7" spans="2:26" ht="18.75" thickBot="1">
      <c r="B7" s="407" t="s">
        <v>69</v>
      </c>
      <c r="C7" s="408"/>
      <c r="D7" s="408"/>
      <c r="E7" s="408"/>
      <c r="F7" s="408"/>
      <c r="G7" s="408"/>
      <c r="H7" s="409"/>
      <c r="I7" s="7"/>
      <c r="J7" s="376" t="s">
        <v>24</v>
      </c>
      <c r="K7" s="425"/>
      <c r="L7" s="425"/>
      <c r="M7" s="425"/>
      <c r="N7" s="425"/>
      <c r="O7" s="425"/>
      <c r="P7" s="426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12.75">
      <c r="B8" s="292" t="s">
        <v>67</v>
      </c>
      <c r="C8" s="310" t="b">
        <f>IF(SRA!C10,TRUE(),FALSE())</f>
        <v>0</v>
      </c>
      <c r="D8" s="311" t="b">
        <f>IF(SRA!D10,TRUE(),FALSE())</f>
        <v>0</v>
      </c>
      <c r="E8" s="310" t="b">
        <f>IF(SRA!E10,TRUE(),FALSE())</f>
        <v>0</v>
      </c>
      <c r="F8" s="311" t="b">
        <f>IF(SRA!F10,TRUE(),FALSE())</f>
        <v>0</v>
      </c>
      <c r="G8" s="310" t="b">
        <f>IF(SRA!G10,TRUE(),FALSE())</f>
        <v>0</v>
      </c>
      <c r="H8" s="306" t="b">
        <f>IF(SRA!H10,TRUE(),FALSE())</f>
        <v>0</v>
      </c>
      <c r="I8" s="7"/>
      <c r="J8" s="326" t="s">
        <v>67</v>
      </c>
      <c r="K8" s="340" t="b">
        <f>IF(SRA!C3,TRUE(),FALSE())</f>
        <v>0</v>
      </c>
      <c r="L8" s="341" t="b">
        <f>IF(SRA!D3,TRUE(),FALSE())</f>
        <v>0</v>
      </c>
      <c r="M8" s="340" t="b">
        <f>IF(SRA!E3,TRUE(),FALSE())</f>
        <v>0</v>
      </c>
      <c r="N8" s="341" t="b">
        <f>IF(SRA!F3,TRUE(),FALSE())</f>
        <v>0</v>
      </c>
      <c r="O8" s="340" t="b">
        <f>IF(SRA!G3,TRUE(),FALSE())</f>
        <v>0</v>
      </c>
      <c r="P8" s="342" t="b">
        <f>IF(SRA!H3,TRUE(),FALSE())</f>
        <v>0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12.75">
      <c r="B9" s="293" t="s">
        <v>66</v>
      </c>
      <c r="C9" s="312" t="b">
        <f>IF(SRA!C11="",FALSE(),TRUE())</f>
        <v>0</v>
      </c>
      <c r="D9" s="312" t="b">
        <f>IF(SRA!D11="",FALSE(),TRUE())</f>
        <v>0</v>
      </c>
      <c r="E9" s="312" t="b">
        <f>IF(SRA!E11="",FALSE(),TRUE())</f>
        <v>0</v>
      </c>
      <c r="F9" s="312" t="b">
        <f>IF(SRA!F11="",FALSE(),TRUE())</f>
        <v>0</v>
      </c>
      <c r="G9" s="312" t="b">
        <f>IF(SRA!G11="",FALSE(),TRUE())</f>
        <v>0</v>
      </c>
      <c r="H9" s="313" t="b">
        <f>IF(SRA!H11="",FALSE(),TRUE())</f>
        <v>0</v>
      </c>
      <c r="I9" s="7"/>
      <c r="J9" s="328" t="s">
        <v>66</v>
      </c>
      <c r="K9" s="343" t="b">
        <f>IF(SRA!C4="",FALSE(),TRUE())</f>
        <v>0</v>
      </c>
      <c r="L9" s="343" t="b">
        <f>IF(SRA!D4="",FALSE(),TRUE())</f>
        <v>0</v>
      </c>
      <c r="M9" s="343" t="b">
        <f>IF(SRA!E4="",FALSE(),TRUE())</f>
        <v>0</v>
      </c>
      <c r="N9" s="343" t="b">
        <f>IF(SRA!F4="",FALSE(),TRUE())</f>
        <v>0</v>
      </c>
      <c r="O9" s="343" t="b">
        <f>IF(SRA!G4="",FALSE(),TRUE())</f>
        <v>0</v>
      </c>
      <c r="P9" s="344" t="b">
        <f>IF(SRA!H4="",FALSE(),TRUE())</f>
        <v>0</v>
      </c>
      <c r="Q9" s="5"/>
      <c r="R9" s="5"/>
      <c r="S9" s="2"/>
      <c r="T9" s="4"/>
      <c r="U9" s="5"/>
      <c r="V9" s="5"/>
      <c r="W9" s="5"/>
      <c r="X9" s="2"/>
      <c r="Y9" s="4"/>
      <c r="Z9" s="5"/>
    </row>
    <row r="10" spans="2:26" ht="12.75">
      <c r="B10" s="294"/>
      <c r="C10" s="314" t="b">
        <f>IF(SRA!C12="",FALSE(),TRUE())</f>
        <v>0</v>
      </c>
      <c r="D10" s="314" t="b">
        <f>IF(SRA!D12="",FALSE(),TRUE())</f>
        <v>0</v>
      </c>
      <c r="E10" s="314" t="b">
        <f>IF(SRA!E12="",FALSE(),TRUE())</f>
        <v>0</v>
      </c>
      <c r="F10" s="314" t="b">
        <f>IF(SRA!F12="",FALSE(),TRUE())</f>
        <v>0</v>
      </c>
      <c r="G10" s="314" t="b">
        <f>IF(SRA!G12="",FALSE(),TRUE())</f>
        <v>0</v>
      </c>
      <c r="H10" s="307" t="b">
        <f>IF(SRA!H12="",FALSE(),TRUE())</f>
        <v>0</v>
      </c>
      <c r="I10" s="7"/>
      <c r="J10" s="329"/>
      <c r="K10" s="345" t="b">
        <f>IF(SRA!C5="",FALSE(),TRUE())</f>
        <v>0</v>
      </c>
      <c r="L10" s="345" t="b">
        <f>IF(SRA!D5="",FALSE(),TRUE())</f>
        <v>0</v>
      </c>
      <c r="M10" s="345" t="b">
        <f>IF(SRA!E5="",FALSE(),TRUE())</f>
        <v>0</v>
      </c>
      <c r="N10" s="345" t="b">
        <f>IF(SRA!F5="",FALSE(),TRUE())</f>
        <v>0</v>
      </c>
      <c r="O10" s="345" t="b">
        <f>IF(SRA!G5="",FALSE(),TRUE())</f>
        <v>0</v>
      </c>
      <c r="P10" s="346" t="b">
        <f>IF(SRA!H5="",FALSE(),TRUE())</f>
        <v>0</v>
      </c>
      <c r="Q10" s="5"/>
      <c r="R10" s="5"/>
      <c r="S10" s="2"/>
      <c r="T10" s="4"/>
      <c r="U10" s="5"/>
      <c r="V10" s="5"/>
      <c r="W10" s="5"/>
      <c r="X10" s="2"/>
      <c r="Y10" s="4"/>
      <c r="Z10" s="5"/>
    </row>
    <row r="11" spans="2:26" ht="12.75">
      <c r="B11" s="294"/>
      <c r="C11" s="314" t="b">
        <f>IF(SRA!C13="",FALSE(),TRUE())</f>
        <v>0</v>
      </c>
      <c r="D11" s="314" t="b">
        <f>IF(SRA!D13="",FALSE(),TRUE())</f>
        <v>0</v>
      </c>
      <c r="E11" s="314" t="b">
        <f>IF(SRA!E13="",FALSE(),TRUE())</f>
        <v>0</v>
      </c>
      <c r="F11" s="314" t="b">
        <f>IF(SRA!F13="",FALSE(),TRUE())</f>
        <v>0</v>
      </c>
      <c r="G11" s="314" t="b">
        <f>IF(SRA!G13="",FALSE(),TRUE())</f>
        <v>0</v>
      </c>
      <c r="H11" s="307" t="b">
        <f>IF(SRA!H13="",FALSE(),TRUE())</f>
        <v>0</v>
      </c>
      <c r="I11" s="7"/>
      <c r="J11" s="329"/>
      <c r="K11" s="345" t="b">
        <f>IF(SRA!C6="",FALSE(),TRUE())</f>
        <v>0</v>
      </c>
      <c r="L11" s="345" t="b">
        <f>IF(SRA!D6="",FALSE(),TRUE())</f>
        <v>0</v>
      </c>
      <c r="M11" s="345" t="b">
        <f>IF(SRA!E6="",FALSE(),TRUE())</f>
        <v>0</v>
      </c>
      <c r="N11" s="345" t="b">
        <f>IF(SRA!F6="",FALSE(),TRUE())</f>
        <v>0</v>
      </c>
      <c r="O11" s="345" t="b">
        <f>IF(SRA!G6="",FALSE(),TRUE())</f>
        <v>0</v>
      </c>
      <c r="P11" s="346" t="b">
        <f>IF(SRA!H6="",FALSE(),TRUE())</f>
        <v>0</v>
      </c>
      <c r="Q11" s="5"/>
      <c r="R11" s="5"/>
      <c r="S11" s="2"/>
      <c r="T11" s="2"/>
      <c r="U11" s="5"/>
      <c r="V11" s="5"/>
      <c r="W11" s="5"/>
      <c r="X11" s="2"/>
      <c r="Y11" s="2"/>
      <c r="Z11" s="5"/>
    </row>
    <row r="12" spans="2:26" ht="12.75">
      <c r="B12" s="295"/>
      <c r="C12" s="315" t="b">
        <f>IF(SRA!C14="",FALSE(),TRUE())</f>
        <v>0</v>
      </c>
      <c r="D12" s="315" t="b">
        <f>IF(SRA!D14="",FALSE(),TRUE())</f>
        <v>0</v>
      </c>
      <c r="E12" s="315" t="b">
        <f>IF(SRA!E14="",FALSE(),TRUE())</f>
        <v>0</v>
      </c>
      <c r="F12" s="315" t="b">
        <f>IF(SRA!F14="",FALSE(),TRUE())</f>
        <v>0</v>
      </c>
      <c r="G12" s="315" t="b">
        <f>IF(SRA!G14="",FALSE(),TRUE())</f>
        <v>0</v>
      </c>
      <c r="H12" s="316" t="b">
        <f>IF(SRA!H14="",FALSE(),TRUE())</f>
        <v>0</v>
      </c>
      <c r="I12" s="7"/>
      <c r="J12" s="330"/>
      <c r="K12" s="347" t="b">
        <f>IF(SRA!C7="",FALSE(),TRUE())</f>
        <v>0</v>
      </c>
      <c r="L12" s="347" t="b">
        <f>IF(SRA!D7="",FALSE(),TRUE())</f>
        <v>0</v>
      </c>
      <c r="M12" s="347" t="b">
        <f>IF(SRA!E7="",FALSE(),TRUE())</f>
        <v>0</v>
      </c>
      <c r="N12" s="347" t="b">
        <f>IF(SRA!F7="",FALSE(),TRUE())</f>
        <v>0</v>
      </c>
      <c r="O12" s="347" t="b">
        <f>IF(SRA!G7="",FALSE(),TRUE())</f>
        <v>0</v>
      </c>
      <c r="P12" s="348" t="b">
        <f>IF(SRA!H7="",FALSE(),TRUE())</f>
        <v>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ht="12.75">
      <c r="B13" s="296" t="s">
        <v>66</v>
      </c>
      <c r="C13" s="317" t="b">
        <f aca="true" t="shared" si="0" ref="C13:H13">OR(C9:C10)</f>
        <v>0</v>
      </c>
      <c r="D13" s="318" t="b">
        <f t="shared" si="0"/>
        <v>0</v>
      </c>
      <c r="E13" s="317" t="b">
        <f t="shared" si="0"/>
        <v>0</v>
      </c>
      <c r="F13" s="318" t="b">
        <f t="shared" si="0"/>
        <v>0</v>
      </c>
      <c r="G13" s="317" t="b">
        <f t="shared" si="0"/>
        <v>0</v>
      </c>
      <c r="H13" s="319" t="b">
        <f t="shared" si="0"/>
        <v>0</v>
      </c>
      <c r="I13" s="7"/>
      <c r="J13" s="331" t="s">
        <v>79</v>
      </c>
      <c r="K13" s="349" t="b">
        <f aca="true" t="shared" si="1" ref="K13:P13">OR(K9:K10)</f>
        <v>0</v>
      </c>
      <c r="L13" s="350" t="b">
        <f t="shared" si="1"/>
        <v>0</v>
      </c>
      <c r="M13" s="349" t="b">
        <f t="shared" si="1"/>
        <v>0</v>
      </c>
      <c r="N13" s="350" t="b">
        <f t="shared" si="1"/>
        <v>0</v>
      </c>
      <c r="O13" s="349" t="b">
        <f t="shared" si="1"/>
        <v>0</v>
      </c>
      <c r="P13" s="351" t="b">
        <f t="shared" si="1"/>
        <v>0</v>
      </c>
      <c r="Q13" s="5"/>
      <c r="R13" s="5"/>
      <c r="S13" s="2"/>
      <c r="T13" s="4"/>
      <c r="U13" s="5"/>
      <c r="V13" s="5"/>
      <c r="W13" s="5"/>
      <c r="X13" s="2"/>
      <c r="Y13" s="4"/>
      <c r="Z13" s="5"/>
    </row>
    <row r="14" spans="2:26" ht="13.5" thickBot="1">
      <c r="B14" s="297" t="s">
        <v>81</v>
      </c>
      <c r="C14" s="320" t="b">
        <f aca="true" t="shared" si="2" ref="C14:H14">AND(C8,C13)</f>
        <v>0</v>
      </c>
      <c r="D14" s="321" t="b">
        <f t="shared" si="2"/>
        <v>0</v>
      </c>
      <c r="E14" s="320" t="b">
        <f t="shared" si="2"/>
        <v>0</v>
      </c>
      <c r="F14" s="321" t="b">
        <f t="shared" si="2"/>
        <v>0</v>
      </c>
      <c r="G14" s="320" t="b">
        <f t="shared" si="2"/>
        <v>0</v>
      </c>
      <c r="H14" s="313" t="b">
        <f t="shared" si="2"/>
        <v>0</v>
      </c>
      <c r="I14" s="7"/>
      <c r="J14" s="332" t="s">
        <v>82</v>
      </c>
      <c r="K14" s="352" t="b">
        <f aca="true" t="shared" si="3" ref="K14:P14">AND(K8,K13)</f>
        <v>0</v>
      </c>
      <c r="L14" s="353" t="b">
        <f t="shared" si="3"/>
        <v>0</v>
      </c>
      <c r="M14" s="352" t="b">
        <f t="shared" si="3"/>
        <v>0</v>
      </c>
      <c r="N14" s="353" t="b">
        <f t="shared" si="3"/>
        <v>0</v>
      </c>
      <c r="O14" s="352" t="b">
        <f t="shared" si="3"/>
        <v>0</v>
      </c>
      <c r="P14" s="354" t="b">
        <f t="shared" si="3"/>
        <v>0</v>
      </c>
      <c r="Q14" s="5"/>
      <c r="R14" s="5"/>
      <c r="S14" s="2"/>
      <c r="T14" s="4"/>
      <c r="U14" s="5"/>
      <c r="V14" s="5"/>
      <c r="W14" s="5"/>
      <c r="X14" s="2"/>
      <c r="Y14" s="4"/>
      <c r="Z14" s="5"/>
    </row>
    <row r="15" spans="2:26" ht="12.75">
      <c r="B15" s="298" t="s">
        <v>97</v>
      </c>
      <c r="C15" s="322">
        <f>IF(C14,SRA!C11*SRA!C11+SRA!C12*SRA!C12+SRA!C13*SRA!C13+SRA!C14*SRA!C14,"")</f>
      </c>
      <c r="D15" s="322">
        <f>IF(D14,SRA!D11*SRA!D11+SRA!D12*SRA!D12+SRA!D13*SRA!D13+SRA!D14*SRA!D14,"")</f>
      </c>
      <c r="E15" s="322">
        <f>IF(E14,SRA!E11*SRA!E11+SRA!E12*SRA!E12+SRA!E13*SRA!E13+SRA!E14*SRA!E14,"")</f>
      </c>
      <c r="F15" s="322">
        <f>IF(F14,SRA!F11*SRA!F11+SRA!F12*SRA!F12+SRA!F13*SRA!F13+SRA!F14*SRA!F14,"")</f>
      </c>
      <c r="G15" s="322">
        <f>IF(G14,SRA!G11*SRA!G11+SRA!G12*SRA!G12+SRA!G13*SRA!G13+SRA!G14*SRA!G14,"")</f>
      </c>
      <c r="H15" s="323">
        <f>IF(H14,SRA!H11*SRA!H11+SRA!H12*SRA!H12+SRA!H13*SRA!H13+SRA!H14*SRA!H14,"")</f>
      </c>
      <c r="I15" s="7"/>
      <c r="J15" s="333" t="s">
        <v>97</v>
      </c>
      <c r="K15" s="355">
        <f>IF(K14,SRA!C4^2+SRA!C5^2+SRA!C6^2+SRA!C7^2,"")</f>
      </c>
      <c r="L15" s="355">
        <f>IF(L14,SRA!D4^2+SRA!D5^2+SRA!D6^2+SRA!D7^2,"")</f>
      </c>
      <c r="M15" s="355">
        <f>IF(M14,SRA!E4^2+SRA!E5^2+SRA!E6^2+SRA!E7^2,"")</f>
      </c>
      <c r="N15" s="355">
        <f>IF(N14,SRA!F4^2+SRA!F5^2+SRA!F6^2+SRA!F7^2,"")</f>
      </c>
      <c r="O15" s="355">
        <f>IF(O14,SRA!G4^2+SRA!G5^2+SRA!G6^2+SRA!G7^2,"")</f>
      </c>
      <c r="P15" s="356">
        <f>IF(P14,SRA!H4^2+SRA!H5^2+SRA!H6^2+SRA!H7^2,"")</f>
      </c>
      <c r="Q15" s="5"/>
      <c r="R15" s="5"/>
      <c r="S15" s="2"/>
      <c r="T15" s="4"/>
      <c r="U15" s="5"/>
      <c r="V15" s="5"/>
      <c r="W15" s="5"/>
      <c r="X15" s="2"/>
      <c r="Y15" s="4"/>
      <c r="Z15" s="5"/>
    </row>
    <row r="16" spans="2:26" ht="13.5" thickBot="1">
      <c r="B16" s="299" t="s">
        <v>98</v>
      </c>
      <c r="C16" s="324">
        <f>IF(C14,SUM(SRA!C11:C14)*SUM(SRA!C11:C14)/COUNT(SRA!C11:C14),"")</f>
      </c>
      <c r="D16" s="324">
        <f>IF(D14,SUM(SRA!D11:D14)*SUM(SRA!D11:D14)/COUNT(SRA!D11:D14),"")</f>
      </c>
      <c r="E16" s="324">
        <f>IF(E14,SUM(SRA!E11:E14)*SUM(SRA!E11:E14)/COUNT(SRA!E11:E14),"")</f>
      </c>
      <c r="F16" s="324">
        <f>IF(F14,SUM(SRA!F11:F14)*SUM(SRA!F11:F14)/COUNT(SRA!F11:F14),"")</f>
      </c>
      <c r="G16" s="324">
        <f>IF(G14,SUM(SRA!G11:G14)*SUM(SRA!G11:G14)/COUNT(SRA!G11:G14),"")</f>
      </c>
      <c r="H16" s="325">
        <f>IF(H14,SUM(SRA!H11:H14)*SUM(SRA!H11:H14)/COUNT(SRA!H11:H14),"")</f>
      </c>
      <c r="I16" s="7"/>
      <c r="J16" s="332" t="s">
        <v>98</v>
      </c>
      <c r="K16" s="357">
        <f>IF(K14,SUM(SRA!C4:C7)^2/COUNT(SRA!C4:C7),"")</f>
      </c>
      <c r="L16" s="357">
        <f>IF(L14,SUM(SRA!D4:D7)^2/COUNT(SRA!D4:D7),"")</f>
      </c>
      <c r="M16" s="357">
        <f>IF(M14,SUM(SRA!E4:E7)^2/COUNT(SRA!E4:E7),"")</f>
      </c>
      <c r="N16" s="357">
        <f>IF(N14,SUM(SRA!F4:F7)^2/COUNT(SRA!F4:F7),"")</f>
      </c>
      <c r="O16" s="357">
        <f>IF(O14,SUM(SRA!G4:G7)^2/COUNT(SRA!G4:G7),"")</f>
      </c>
      <c r="P16" s="358">
        <f>IF(P14,SUM(SRA!H4:H7)^2/COUNT(SRA!H4:H7),"")</f>
      </c>
      <c r="Q16" s="5"/>
      <c r="R16" s="5"/>
      <c r="S16" s="2"/>
      <c r="T16" s="4"/>
      <c r="U16" s="5"/>
      <c r="V16" s="5"/>
      <c r="W16" s="5"/>
      <c r="X16" s="2"/>
      <c r="Y16" s="4"/>
      <c r="Z16" s="5"/>
    </row>
    <row r="17" spans="2:16" ht="13.5" thickBot="1">
      <c r="B17" s="300"/>
      <c r="C17" s="64"/>
      <c r="D17" s="64"/>
      <c r="E17" s="64"/>
      <c r="F17" s="8"/>
      <c r="G17" s="8"/>
      <c r="H17" s="8"/>
      <c r="I17" s="7"/>
      <c r="J17" s="334"/>
      <c r="K17" s="335"/>
      <c r="L17" s="335"/>
      <c r="M17" s="335"/>
      <c r="N17" s="335"/>
      <c r="O17" s="335"/>
      <c r="P17" s="119"/>
    </row>
    <row r="18" spans="2:16" ht="12.75">
      <c r="B18" s="301" t="s">
        <v>65</v>
      </c>
      <c r="C18" s="305" t="s">
        <v>92</v>
      </c>
      <c r="D18" s="306">
        <f>IF(C14,COUNT(SRA!C10),)+IF(D14,COUNT(SRA!D10),)+IF(E14,COUNT(SRA!E10),)+IF(F14,COUNT(SRA!F10),)+IF(G14,COUNT(SRA!G10),)+IF(H14,COUNT(SRA!H10),)</f>
        <v>0</v>
      </c>
      <c r="E18" s="8"/>
      <c r="I18" s="7"/>
      <c r="J18" s="419" t="s">
        <v>111</v>
      </c>
      <c r="K18" s="420"/>
      <c r="L18" s="420"/>
      <c r="M18" s="420"/>
      <c r="N18" s="421"/>
      <c r="O18" s="327" t="s">
        <v>91</v>
      </c>
      <c r="P18" s="359">
        <f>IF(K14,COUNT(SRA!C3),)+IF(L14,COUNT(SRA!D3),)+IF(M14,COUNT(SRA!E3),)+IF(N14,COUNT(SRA!F3),)+IF(O14,COUNT(SRA!G3),)+IF(P14,COUNT(SRA!H3),)</f>
        <v>0</v>
      </c>
    </row>
    <row r="19" spans="2:16" ht="12.75">
      <c r="B19" s="302" t="s">
        <v>9</v>
      </c>
      <c r="C19" s="304" t="s">
        <v>29</v>
      </c>
      <c r="D19" s="307">
        <f>IF(C14,COUNT(SRA!C11:C14),)+IF(D14,COUNT(SRA!D11:D14),)+IF(E14,COUNT(SRA!E11:E14),)+IF(F14,COUNT(SRA!F11:F14),)+IF(G14,COUNT(SRA!G11:G14),)+IF(H14,COUNT(SRA!H11:H14),)</f>
        <v>0</v>
      </c>
      <c r="E19" s="8"/>
      <c r="F19" s="118"/>
      <c r="G19" s="8"/>
      <c r="H19" s="64"/>
      <c r="I19" s="7"/>
      <c r="J19" s="422" t="s">
        <v>8</v>
      </c>
      <c r="K19" s="423"/>
      <c r="L19" s="423"/>
      <c r="M19" s="423"/>
      <c r="N19" s="424"/>
      <c r="O19" s="336" t="s">
        <v>31</v>
      </c>
      <c r="P19" s="360">
        <f>IF(K14,COUNT(SRA!C4:C7),)+IF(L14,COUNT(SRA!D4:D7),)+IF(M14,COUNT(SRA!E4:E7),)+IF(N14,COUNT(SRA!F4:F7),)+IF(O14,COUNT(SRA!G4:G7),)+IF(P14,COUNT(SRA!H4:H7),)</f>
        <v>0</v>
      </c>
    </row>
    <row r="20" spans="2:16" ht="12.75">
      <c r="B20" s="303" t="s">
        <v>10</v>
      </c>
      <c r="C20" s="304" t="s">
        <v>28</v>
      </c>
      <c r="D20" s="308">
        <f>NS+NTa+NB</f>
        <v>0</v>
      </c>
      <c r="E20" s="8"/>
      <c r="F20" s="8"/>
      <c r="G20" s="8"/>
      <c r="H20" s="8"/>
      <c r="I20" s="7"/>
      <c r="J20" s="422" t="s">
        <v>6</v>
      </c>
      <c r="K20" s="423"/>
      <c r="L20" s="423"/>
      <c r="M20" s="423"/>
      <c r="N20" s="424"/>
      <c r="O20" s="336" t="s">
        <v>35</v>
      </c>
      <c r="P20" s="361">
        <f>COUNT(SRA!C4:C7)*SRA!C3+COUNT(SRA!D4:D7)*SRA!D3+COUNT(SRA!E4:E7)*SRA!E3+COUNT(SRA!F4:F7)*SRA!F3+COUNT(SRA!G4:G7)*SRA!G3+COUNT(SRA!H4:H7)*SRA!H3</f>
        <v>0</v>
      </c>
    </row>
    <row r="21" spans="2:16" ht="12.75">
      <c r="B21" s="303" t="s">
        <v>0</v>
      </c>
      <c r="C21" s="304" t="s">
        <v>33</v>
      </c>
      <c r="D21" s="308">
        <f>COUNT(SRA!C11:C14)*SRA!C10+COUNT(SRA!D11:D14)*SRA!D10+COUNT(SRA!E11:E14)*SRA!E10+COUNT(SRA!F11:F14)*SRA!F10+COUNT(SRA!G11:G14)*SRA!G10+COUNT(SRA!H11:H14)*SRA!H10</f>
        <v>0</v>
      </c>
      <c r="E21" s="8"/>
      <c r="F21" s="8"/>
      <c r="G21" s="8"/>
      <c r="H21" s="8"/>
      <c r="I21" s="7"/>
      <c r="J21" s="410" t="s">
        <v>1</v>
      </c>
      <c r="K21" s="411"/>
      <c r="L21" s="411"/>
      <c r="M21" s="411"/>
      <c r="N21" s="412"/>
      <c r="O21" s="337" t="s">
        <v>36</v>
      </c>
      <c r="P21" s="362">
        <f>IF(K14,SUM(SRA!C4:C7),)+IF(L14,SUM(SRA!D4:D7),)+IF(M14,SUM(SRA!E4:E7),)+IF(N14,SUM(SRA!F4:F7),)+IF(O14,SUM(SRA!G4:G7),)+IF(P14,SUM(SRA!H4:H7),)</f>
        <v>0</v>
      </c>
    </row>
    <row r="22" spans="2:16" ht="12.75">
      <c r="B22" s="303" t="s">
        <v>2</v>
      </c>
      <c r="C22" s="304" t="s">
        <v>34</v>
      </c>
      <c r="D22" s="309">
        <f>IF(C14,SUM(SRA!C11:C14),)+IF(D14,SUM(SRA!D11:D14),)+IF(E14,SUM(SRA!E11:E14),)+IF(F14,SUM(SRA!F11:F14),)+IF(G14,SUM(SRA!G11:G14),)+IF(H14,SUM(SRA!H11:H14),)</f>
        <v>0</v>
      </c>
      <c r="E22" s="8"/>
      <c r="F22" s="8"/>
      <c r="G22" s="8"/>
      <c r="H22" s="8"/>
      <c r="I22" s="7"/>
      <c r="J22" s="413" t="s">
        <v>77</v>
      </c>
      <c r="K22" s="414"/>
      <c r="L22" s="414"/>
      <c r="M22" s="414"/>
      <c r="N22" s="415"/>
      <c r="O22" s="338"/>
      <c r="P22" s="363" t="e">
        <f>SumXS/NS</f>
        <v>#DIV/0!</v>
      </c>
    </row>
    <row r="23" spans="2:16" ht="13.5" thickBot="1">
      <c r="B23" s="302" t="s">
        <v>7</v>
      </c>
      <c r="C23" s="304" t="s">
        <v>39</v>
      </c>
      <c r="D23" s="309">
        <f>SumYTa+SumYS+SumYB</f>
        <v>0</v>
      </c>
      <c r="E23" s="8"/>
      <c r="F23" s="8"/>
      <c r="G23" s="8"/>
      <c r="H23" s="64"/>
      <c r="I23" s="7"/>
      <c r="J23" s="416" t="s">
        <v>75</v>
      </c>
      <c r="K23" s="417"/>
      <c r="L23" s="417"/>
      <c r="M23" s="417"/>
      <c r="N23" s="418"/>
      <c r="O23" s="339"/>
      <c r="P23" s="364" t="e">
        <f>SumYS/NS</f>
        <v>#DIV/0!</v>
      </c>
    </row>
    <row r="24" spans="2:9" ht="12.75">
      <c r="B24" s="14" t="s">
        <v>12</v>
      </c>
      <c r="C24" s="15" t="s">
        <v>40</v>
      </c>
      <c r="D24" s="16" t="e">
        <f>COUNT(SRA!C11:C14)*SRA!C10*SRA!C10+COUNT(SRA!D11:D14)*SRA!D10*SRA!D10+COUNT(SRA!E11:E14)*SRA!E10*SRA!E10+COUNT(SRA!F11:F14)*SRA!F10*SRA!F10+COUNT(SRA!G11:G14)*SRA!G10*SRA!G10+COUNT(SRA!H11:H14)*SRA!H10*SRA!H10-D21*D21/D20</f>
        <v>#DIV/0!</v>
      </c>
      <c r="E24" s="8"/>
      <c r="F24" s="8"/>
      <c r="G24" s="8"/>
      <c r="H24" s="8"/>
      <c r="I24" s="7"/>
    </row>
    <row r="25" spans="2:9" ht="12.75">
      <c r="B25" s="17" t="s">
        <v>13</v>
      </c>
      <c r="C25" s="18" t="s">
        <v>41</v>
      </c>
      <c r="D25" s="19" t="e">
        <f>-SumXS*SumXTa/Ntota</f>
        <v>#DIV/0!</v>
      </c>
      <c r="E25" s="8"/>
      <c r="F25" s="8"/>
      <c r="G25" s="8"/>
      <c r="H25" s="8"/>
      <c r="I25" s="7"/>
    </row>
    <row r="26" spans="2:9" ht="13.5" thickBot="1">
      <c r="B26" s="17" t="s">
        <v>20</v>
      </c>
      <c r="C26" s="18" t="s">
        <v>42</v>
      </c>
      <c r="D26" s="19" t="e">
        <f>-SumXTa*SumXB/Ntota</f>
        <v>#DIV/0!</v>
      </c>
      <c r="E26" s="8"/>
      <c r="F26" s="8"/>
      <c r="G26" s="8"/>
      <c r="H26" s="8"/>
      <c r="I26" s="7"/>
    </row>
    <row r="27" spans="2:12" ht="18.75" thickBot="1">
      <c r="B27" s="21" t="s">
        <v>16</v>
      </c>
      <c r="C27" s="22" t="s">
        <v>46</v>
      </c>
      <c r="D27" s="19" t="e">
        <f>COUNT(SRA!$L$4:$L$15)*$L$28*$L$28-SumXB*SumXB/D20</f>
        <v>#DIV/0!</v>
      </c>
      <c r="E27" s="8"/>
      <c r="F27" s="8"/>
      <c r="G27" s="8"/>
      <c r="H27" s="8"/>
      <c r="I27" s="7"/>
      <c r="J27" s="402" t="s">
        <v>110</v>
      </c>
      <c r="K27" s="380"/>
      <c r="L27" s="381"/>
    </row>
    <row r="28" spans="2:12" ht="12.75">
      <c r="B28" s="17" t="s">
        <v>15</v>
      </c>
      <c r="C28" s="23" t="s">
        <v>47</v>
      </c>
      <c r="D28" s="19" t="e">
        <f>-SumXS*SumXB/Ntota</f>
        <v>#DIV/0!</v>
      </c>
      <c r="E28" s="8"/>
      <c r="F28" s="8"/>
      <c r="G28" s="8"/>
      <c r="H28" s="8"/>
      <c r="I28" s="7"/>
      <c r="J28" s="405" t="s">
        <v>94</v>
      </c>
      <c r="K28" s="406"/>
      <c r="L28" s="291">
        <v>1</v>
      </c>
    </row>
    <row r="29" spans="2:12" ht="12.75">
      <c r="B29" s="24" t="s">
        <v>11</v>
      </c>
      <c r="C29" s="25" t="s">
        <v>48</v>
      </c>
      <c r="D29" s="26" t="e">
        <f>(COUNT(SRA!$C$4:$C$7)*SRA!$C$3*SRA!$C$3+COUNT(SRA!$D$4:$D$7)*SRA!$D$3*SRA!$D$3+COUNT(SRA!$E$4:$E$7)*SRA!$E$3*SRA!$E$3+COUNT(SRA!$F$4:$F$7)*SRA!$F$3*SRA!$F$3+COUNT(SRA!$G$4:$G$7)*SRA!$G$3*SRA!$G$3+COUNT(SRA!$H$4:$H$7)*SRA!$H$3*SRA!$H$3)-SumXS*SumXS/D20</f>
        <v>#DIV/0!</v>
      </c>
      <c r="E29" s="8"/>
      <c r="F29" s="8"/>
      <c r="G29" s="8"/>
      <c r="H29" s="8"/>
      <c r="I29" s="7"/>
      <c r="J29" s="403" t="s">
        <v>67</v>
      </c>
      <c r="K29" s="404"/>
      <c r="L29" s="279" t="b">
        <f>IF(L28,TRUE(),FALSE())</f>
        <v>1</v>
      </c>
    </row>
    <row r="30" spans="2:12" ht="12.75">
      <c r="B30" s="27" t="s">
        <v>21</v>
      </c>
      <c r="C30" s="15" t="s">
        <v>43</v>
      </c>
      <c r="D30" s="16" t="e">
        <f>SUM(SRA!C11:C14)*SRA!C10+SUM(SRA!D11:D14)*SRA!D10+SUM(SRA!E11:E14)*SRA!E10+SUM(SRA!F11:F14)*SRA!F10+SUM(SRA!G11:G14)*SRA!G10+SUM(SRA!H11:H14)*SRA!H10-SumXTa*SumYtota/Ntota</f>
        <v>#DIV/0!</v>
      </c>
      <c r="E30" s="8"/>
      <c r="F30" s="8"/>
      <c r="G30" s="8"/>
      <c r="H30" s="8"/>
      <c r="I30" s="7"/>
      <c r="J30" s="396" t="s">
        <v>66</v>
      </c>
      <c r="K30" s="397"/>
      <c r="L30" s="280" t="b">
        <f>IF(SRA!L4="",FALSE(),TRUE())</f>
        <v>0</v>
      </c>
    </row>
    <row r="31" spans="2:12" ht="12.75">
      <c r="B31" s="21" t="s">
        <v>22</v>
      </c>
      <c r="C31" s="18" t="s">
        <v>44</v>
      </c>
      <c r="D31" s="19" t="e">
        <f>SUM(SRA!$C$4:$C$7)*SRA!$C$3+SUM(SRA!$D$4:$D$7)*SRA!$D$3+SUM(SRA!$E$4:$E$7)*SRA!$E$3+SUM(SRA!$F$4:$F$7)*SRA!$F$3+SUM(SRA!$G$4:$G$7)*SRA!$G$3+SUM(SRA!$H$4:$H$7)*SRA!$H$3-SumXS*SumYtota/Ntota</f>
        <v>#DIV/0!</v>
      </c>
      <c r="E31" s="8"/>
      <c r="F31" s="8"/>
      <c r="G31" s="8"/>
      <c r="H31" s="8"/>
      <c r="I31" s="7"/>
      <c r="J31" s="398"/>
      <c r="K31" s="399"/>
      <c r="L31" s="279" t="b">
        <f>IF(SRA!L5="",FALSE(),TRUE())</f>
        <v>0</v>
      </c>
    </row>
    <row r="32" spans="2:12" ht="12.75">
      <c r="B32" s="28" t="s">
        <v>23</v>
      </c>
      <c r="C32" s="29" t="s">
        <v>45</v>
      </c>
      <c r="D32" s="30" t="e">
        <f>SUM(SRA!$L$4:$L$15)*L28-SumXB*SumYtota/Ntota</f>
        <v>#DIV/0!</v>
      </c>
      <c r="E32" s="8"/>
      <c r="F32" s="31"/>
      <c r="G32" s="8"/>
      <c r="H32" s="8"/>
      <c r="I32" s="7"/>
      <c r="J32" s="398"/>
      <c r="K32" s="399"/>
      <c r="L32" s="279" t="b">
        <f>IF(SRA!L6="",FALSE(),TRUE())</f>
        <v>0</v>
      </c>
    </row>
    <row r="33" spans="2:12" ht="12.75">
      <c r="B33" s="27" t="s">
        <v>84</v>
      </c>
      <c r="C33" s="15" t="s">
        <v>49</v>
      </c>
      <c r="D33" s="16" t="e">
        <f>C51*D31+C52*D30+C53*D32</f>
        <v>#DIV/0!</v>
      </c>
      <c r="E33" s="8"/>
      <c r="F33" s="8"/>
      <c r="G33" s="8"/>
      <c r="H33" s="8"/>
      <c r="I33" s="7"/>
      <c r="J33" s="398"/>
      <c r="K33" s="399"/>
      <c r="L33" s="279" t="b">
        <f>IF(SRA!L7="",FALSE(),TRUE())</f>
        <v>0</v>
      </c>
    </row>
    <row r="34" spans="2:12" ht="12.75">
      <c r="B34" s="21" t="s">
        <v>85</v>
      </c>
      <c r="C34" s="18" t="s">
        <v>30</v>
      </c>
      <c r="D34" s="19" t="e">
        <f>D51*D31+D52*D30+D53*D32</f>
        <v>#DIV/0!</v>
      </c>
      <c r="E34" s="8"/>
      <c r="F34" s="8"/>
      <c r="G34" s="8"/>
      <c r="H34" s="8"/>
      <c r="I34" s="7"/>
      <c r="J34" s="398"/>
      <c r="K34" s="399"/>
      <c r="L34" s="279" t="b">
        <f>IF(SRA!L8="",FALSE(),TRUE())</f>
        <v>0</v>
      </c>
    </row>
    <row r="35" spans="2:12" ht="12.75">
      <c r="B35" s="21" t="s">
        <v>86</v>
      </c>
      <c r="C35" s="18" t="s">
        <v>50</v>
      </c>
      <c r="D35" s="19" t="e">
        <f>E51*D31+E52*D30+E53*D32</f>
        <v>#DIV/0!</v>
      </c>
      <c r="E35" s="8"/>
      <c r="F35" s="8"/>
      <c r="G35" s="8"/>
      <c r="H35" s="32"/>
      <c r="I35" s="7"/>
      <c r="J35" s="398"/>
      <c r="K35" s="399"/>
      <c r="L35" s="279" t="b">
        <f>IF(SRA!L9="",FALSE(),TRUE())</f>
        <v>0</v>
      </c>
    </row>
    <row r="36" spans="2:12" ht="12.75">
      <c r="B36" s="33" t="s">
        <v>83</v>
      </c>
      <c r="C36" s="34"/>
      <c r="D36" s="35" t="e">
        <f>($P$23-D33*$P$22+D40-D34*D39+$L$52-D35*$L$51)/3</f>
        <v>#DIV/0!</v>
      </c>
      <c r="E36" s="8"/>
      <c r="F36" s="8"/>
      <c r="G36" s="8"/>
      <c r="H36" s="32"/>
      <c r="I36" s="7"/>
      <c r="J36" s="398"/>
      <c r="K36" s="399"/>
      <c r="L36" s="279" t="b">
        <f>IF(SRA!L10="",FALSE(),TRUE())</f>
        <v>0</v>
      </c>
    </row>
    <row r="37" spans="2:12" ht="12.75">
      <c r="B37" s="21" t="s">
        <v>100</v>
      </c>
      <c r="C37" s="36" t="s">
        <v>101</v>
      </c>
      <c r="D37" s="37" t="e">
        <f>F51*SumXSY+F52*SumXTaY</f>
        <v>#DIV/0!</v>
      </c>
      <c r="E37" s="8"/>
      <c r="F37" s="8"/>
      <c r="G37" s="8"/>
      <c r="H37" s="32"/>
      <c r="I37" s="7"/>
      <c r="J37" s="398"/>
      <c r="K37" s="399"/>
      <c r="L37" s="279" t="b">
        <f>IF(SRA!L11="",FALSE(),TRUE())</f>
        <v>0</v>
      </c>
    </row>
    <row r="38" spans="2:12" ht="12.75">
      <c r="B38" s="21" t="s">
        <v>99</v>
      </c>
      <c r="C38" s="38" t="s">
        <v>102</v>
      </c>
      <c r="D38" s="37" t="e">
        <f>G51*SumXSY+G52*SumXTaY</f>
        <v>#DIV/0!</v>
      </c>
      <c r="E38" s="8"/>
      <c r="F38" s="8"/>
      <c r="G38" s="8"/>
      <c r="H38" s="8"/>
      <c r="I38" s="7"/>
      <c r="J38" s="398"/>
      <c r="K38" s="399"/>
      <c r="L38" s="279" t="b">
        <f>IF(SRA!L12="",FALSE(),TRUE())</f>
        <v>0</v>
      </c>
    </row>
    <row r="39" spans="2:12" ht="12.75">
      <c r="B39" s="27" t="s">
        <v>87</v>
      </c>
      <c r="C39" s="39"/>
      <c r="D39" s="40" t="e">
        <f>SumXTa/NTa</f>
        <v>#DIV/0!</v>
      </c>
      <c r="E39" s="8"/>
      <c r="F39" s="9"/>
      <c r="G39" s="9"/>
      <c r="H39" s="8"/>
      <c r="I39" s="7"/>
      <c r="J39" s="398"/>
      <c r="K39" s="399"/>
      <c r="L39" s="279" t="b">
        <f>IF(SRA!L13="",FALSE(),TRUE())</f>
        <v>0</v>
      </c>
    </row>
    <row r="40" spans="2:12" ht="12.75">
      <c r="B40" s="21" t="s">
        <v>88</v>
      </c>
      <c r="C40" s="41"/>
      <c r="D40" s="42" t="e">
        <f>SumYTa/NTa</f>
        <v>#DIV/0!</v>
      </c>
      <c r="E40" s="8"/>
      <c r="F40" s="8"/>
      <c r="G40" s="8"/>
      <c r="H40" s="8"/>
      <c r="I40" s="7"/>
      <c r="J40" s="398"/>
      <c r="K40" s="399"/>
      <c r="L40" s="279" t="b">
        <f>IF(SRA!L14="",FALSE(),TRUE())</f>
        <v>0</v>
      </c>
    </row>
    <row r="41" spans="2:12" ht="12.75">
      <c r="B41" s="43" t="s">
        <v>96</v>
      </c>
      <c r="C41" s="39" t="s">
        <v>95</v>
      </c>
      <c r="D41" s="44" t="e">
        <f>SlopeTa/SlopeS</f>
        <v>#DIV/0!</v>
      </c>
      <c r="E41" s="8"/>
      <c r="F41" s="45"/>
      <c r="G41" s="8"/>
      <c r="H41" s="8"/>
      <c r="I41" s="7"/>
      <c r="J41" s="400"/>
      <c r="K41" s="401"/>
      <c r="L41" s="281" t="b">
        <f>IF(SRA!L15="",FALSE(),TRUE())</f>
        <v>0</v>
      </c>
    </row>
    <row r="42" spans="2:12" ht="12.75">
      <c r="B42" s="46"/>
      <c r="C42" s="36" t="s">
        <v>106</v>
      </c>
      <c r="D42" s="47" t="e">
        <f>(D41-D45*D51/C51+D44*SQRT(F63)/ABS(SlopeS)*(D52-2*D41*D51+D41*D41*C51-D45*(D52-D51*D51/C51))^0.5)/(1-D45)</f>
        <v>#DIV/0!</v>
      </c>
      <c r="E42" s="8"/>
      <c r="F42" s="45"/>
      <c r="G42" s="8"/>
      <c r="H42" s="8"/>
      <c r="I42" s="7"/>
      <c r="J42" s="403" t="s">
        <v>80</v>
      </c>
      <c r="K42" s="404"/>
      <c r="L42" s="282" t="b">
        <f>OR(L30:L41)</f>
        <v>0</v>
      </c>
    </row>
    <row r="43" spans="2:12" ht="12.75">
      <c r="B43" s="46"/>
      <c r="C43" s="36" t="s">
        <v>107</v>
      </c>
      <c r="D43" s="47" t="e">
        <f>(D41-D45*D51/C51-D44*SQRT(F63)/ABS(SlopeS)*(D52-2*D41*D51+D41*D41*C51-D45*(D52-D51*D51/C51))^0.5)/(1-D45)</f>
        <v>#DIV/0!</v>
      </c>
      <c r="E43" s="8"/>
      <c r="F43" s="45"/>
      <c r="G43" s="8"/>
      <c r="H43" s="8"/>
      <c r="I43" s="7"/>
      <c r="J43" s="403" t="s">
        <v>81</v>
      </c>
      <c r="K43" s="404"/>
      <c r="L43" s="282" t="b">
        <f>AND(L29,L42)</f>
        <v>0</v>
      </c>
    </row>
    <row r="44" spans="2:12" ht="12.75">
      <c r="B44" s="48"/>
      <c r="C44" s="49" t="s">
        <v>108</v>
      </c>
      <c r="D44" s="50" t="e">
        <f>TINV(0.05,C63)</f>
        <v>#NUM!</v>
      </c>
      <c r="E44" s="8"/>
      <c r="F44" s="8"/>
      <c r="G44" s="8"/>
      <c r="H44" s="8"/>
      <c r="I44" s="7"/>
      <c r="J44" s="392" t="s">
        <v>97</v>
      </c>
      <c r="K44" s="393"/>
      <c r="L44" s="283">
        <f>IF(L43,SRA!L4^2+SRA!L5^2+SRA!L6^2+SRA!L7^2+SRA!L8^2+SRA!L9^2+SRA!L10^2+SRA!L11^2+SRA!L12^2+SRA!L13^2+SRA!L14^2+SRA!L15^2,"")</f>
      </c>
    </row>
    <row r="45" spans="2:12" ht="13.5" thickBot="1">
      <c r="B45" s="51"/>
      <c r="C45" s="52" t="s">
        <v>105</v>
      </c>
      <c r="D45" s="53" t="e">
        <f>D44*D44*F63*C51/(D33*D33)</f>
        <v>#NUM!</v>
      </c>
      <c r="E45" s="8"/>
      <c r="F45" s="8"/>
      <c r="G45" s="8"/>
      <c r="H45" s="8"/>
      <c r="I45" s="7"/>
      <c r="J45" s="394" t="s">
        <v>98</v>
      </c>
      <c r="K45" s="395"/>
      <c r="L45" s="284">
        <f>IF(L43,SUM(SRA!L4:L15)^2/COUNT(SRA!L4:L15),"")</f>
      </c>
    </row>
    <row r="46" spans="2:12" ht="13.5" thickBot="1">
      <c r="B46" s="54"/>
      <c r="C46" s="8"/>
      <c r="D46" s="55"/>
      <c r="E46" s="8"/>
      <c r="F46" s="8"/>
      <c r="G46" s="8"/>
      <c r="H46" s="8"/>
      <c r="I46" s="7"/>
      <c r="J46" s="271"/>
      <c r="K46" s="271"/>
      <c r="L46" s="285"/>
    </row>
    <row r="47" spans="2:12" ht="13.5" thickBot="1">
      <c r="B47" s="56"/>
      <c r="C47" s="441" t="s">
        <v>112</v>
      </c>
      <c r="D47" s="430"/>
      <c r="E47" s="430"/>
      <c r="F47" s="441" t="s">
        <v>113</v>
      </c>
      <c r="G47" s="431"/>
      <c r="H47" s="8"/>
      <c r="I47" s="8"/>
      <c r="J47" s="272" t="s">
        <v>89</v>
      </c>
      <c r="K47" s="273" t="s">
        <v>90</v>
      </c>
      <c r="L47" s="286">
        <v>1</v>
      </c>
    </row>
    <row r="48" spans="2:12" ht="12.75">
      <c r="B48" s="17" t="s">
        <v>26</v>
      </c>
      <c r="C48" s="57" t="e">
        <f>D29</f>
        <v>#DIV/0!</v>
      </c>
      <c r="D48" s="57" t="e">
        <f>SumXSXTa</f>
        <v>#DIV/0!</v>
      </c>
      <c r="E48" s="57" t="e">
        <f>D28</f>
        <v>#DIV/0!</v>
      </c>
      <c r="F48" s="58" t="e">
        <f>C48</f>
        <v>#DIV/0!</v>
      </c>
      <c r="G48" s="42" t="e">
        <f>D48</f>
        <v>#DIV/0!</v>
      </c>
      <c r="H48" s="59"/>
      <c r="I48" s="20"/>
      <c r="J48" s="269" t="s">
        <v>19</v>
      </c>
      <c r="K48" s="274" t="s">
        <v>32</v>
      </c>
      <c r="L48" s="287">
        <f>IF(L43,COUNT(SRA!L4:L15),)</f>
        <v>0</v>
      </c>
    </row>
    <row r="49" spans="2:12" ht="12.75">
      <c r="B49" s="17"/>
      <c r="C49" s="60" t="e">
        <f>SumXSXTa</f>
        <v>#DIV/0!</v>
      </c>
      <c r="D49" s="60" t="e">
        <f>SumXTaXTa</f>
        <v>#DIV/0!</v>
      </c>
      <c r="E49" s="57" t="e">
        <f>SumXTaXB</f>
        <v>#DIV/0!</v>
      </c>
      <c r="F49" s="58" t="e">
        <f>C49</f>
        <v>#DIV/0!</v>
      </c>
      <c r="G49" s="42" t="e">
        <f>D49</f>
        <v>#DIV/0!</v>
      </c>
      <c r="H49" s="59"/>
      <c r="I49" s="20"/>
      <c r="J49" s="269" t="s">
        <v>17</v>
      </c>
      <c r="K49" s="274" t="s">
        <v>37</v>
      </c>
      <c r="L49" s="288">
        <f>IF(L43,SUM(SRA!L4:L15),)</f>
        <v>0</v>
      </c>
    </row>
    <row r="50" spans="2:12" ht="12.75">
      <c r="B50" s="24"/>
      <c r="C50" s="61" t="e">
        <f>SumXSXB</f>
        <v>#DIV/0!</v>
      </c>
      <c r="D50" s="62" t="e">
        <f>SumXTaXB</f>
        <v>#DIV/0!</v>
      </c>
      <c r="E50" s="61" t="e">
        <f>SumXBXB</f>
        <v>#DIV/0!</v>
      </c>
      <c r="F50" s="63"/>
      <c r="G50" s="35"/>
      <c r="H50" s="59"/>
      <c r="I50" s="20"/>
      <c r="J50" s="270" t="s">
        <v>18</v>
      </c>
      <c r="K50" s="275" t="s">
        <v>38</v>
      </c>
      <c r="L50" s="288">
        <f>COUNT(SRA!L4:L15)*L28</f>
        <v>0</v>
      </c>
    </row>
    <row r="51" spans="2:12" ht="12.75">
      <c r="B51" s="14" t="s">
        <v>27</v>
      </c>
      <c r="C51" s="65" t="e">
        <f>(D49*E50-E49*D50)/MDETERM(C48:E50)</f>
        <v>#DIV/0!</v>
      </c>
      <c r="D51" s="65" t="e">
        <f>-(C49*E50-E49*C50)/MDETERM(C48:E50)</f>
        <v>#DIV/0!</v>
      </c>
      <c r="E51" s="65" t="e">
        <f>(C49*D50-D49*C50)/MDETERM(C48:E50)</f>
        <v>#DIV/0!</v>
      </c>
      <c r="F51" s="58" t="e">
        <f>G49/(F48*G49-G48*F49)</f>
        <v>#DIV/0!</v>
      </c>
      <c r="G51" s="42" t="e">
        <f>G48/(G48*F49-F48*G49)</f>
        <v>#DIV/0!</v>
      </c>
      <c r="H51" s="59"/>
      <c r="I51" s="20"/>
      <c r="J51" s="269" t="s">
        <v>78</v>
      </c>
      <c r="K51" s="276"/>
      <c r="L51" s="289" t="e">
        <f>SumXB/NB</f>
        <v>#DIV/0!</v>
      </c>
    </row>
    <row r="52" spans="2:12" ht="13.5" thickBot="1">
      <c r="B52" s="17"/>
      <c r="C52" s="60" t="e">
        <f>-(D48*E50-D50*E48)/MDETERM(C48:E50)</f>
        <v>#DIV/0!</v>
      </c>
      <c r="D52" s="60" t="e">
        <f>(C48*E50-C50*E48)/MDETERM(C48:E50)</f>
        <v>#DIV/0!</v>
      </c>
      <c r="E52" s="60" t="e">
        <f>-(C48*D50-D48*C50)/MDETERM(C48:E50)</f>
        <v>#DIV/0!</v>
      </c>
      <c r="F52" s="58" t="e">
        <f>F49/(G48*F49-F48*G49)</f>
        <v>#DIV/0!</v>
      </c>
      <c r="G52" s="42" t="e">
        <f>F48/(F48*G49-G48*F49)</f>
        <v>#DIV/0!</v>
      </c>
      <c r="H52" s="59"/>
      <c r="I52" s="20"/>
      <c r="J52" s="277" t="s">
        <v>76</v>
      </c>
      <c r="K52" s="278"/>
      <c r="L52" s="290" t="e">
        <f>SumYB/NB</f>
        <v>#DIV/0!</v>
      </c>
    </row>
    <row r="53" spans="2:9" ht="13.5" thickBot="1">
      <c r="B53" s="66"/>
      <c r="C53" s="67" t="e">
        <f>(D48*E49-D49*E48)/MDETERM(C48:E50)</f>
        <v>#DIV/0!</v>
      </c>
      <c r="D53" s="67" t="e">
        <f>-(C48*E49-C49*E48)/MDETERM(C48:E50)</f>
        <v>#DIV/0!</v>
      </c>
      <c r="E53" s="67" t="e">
        <f>(C48*D49-D48*C49)/MDETERM(C48:E50)</f>
        <v>#DIV/0!</v>
      </c>
      <c r="F53" s="68"/>
      <c r="G53" s="69"/>
      <c r="H53" s="59"/>
      <c r="I53" s="20"/>
    </row>
    <row r="54" spans="2:9" ht="13.5" thickBot="1">
      <c r="B54" s="8"/>
      <c r="C54" s="8"/>
      <c r="D54" s="8"/>
      <c r="E54" s="8"/>
      <c r="F54" s="8"/>
      <c r="G54" s="8"/>
      <c r="H54" s="8"/>
      <c r="I54" s="7"/>
    </row>
    <row r="55" spans="2:9" ht="13.5" thickBot="1">
      <c r="B55" s="429" t="s">
        <v>64</v>
      </c>
      <c r="C55" s="430"/>
      <c r="D55" s="430"/>
      <c r="E55" s="430"/>
      <c r="F55" s="430"/>
      <c r="G55" s="430"/>
      <c r="H55" s="431"/>
      <c r="I55" s="7"/>
    </row>
    <row r="56" spans="2:9" ht="12.75">
      <c r="B56" s="70" t="s">
        <v>52</v>
      </c>
      <c r="C56" s="456" t="s">
        <v>54</v>
      </c>
      <c r="D56" s="427" t="e">
        <f>(SumYtota)^2/Ntota</f>
        <v>#DIV/0!</v>
      </c>
      <c r="E56" s="428"/>
      <c r="F56" s="71" t="s">
        <v>56</v>
      </c>
      <c r="G56" s="72"/>
      <c r="H56" s="73"/>
      <c r="I56" s="7"/>
    </row>
    <row r="57" spans="2:9" ht="12.75">
      <c r="B57" s="24" t="s">
        <v>53</v>
      </c>
      <c r="C57" s="457"/>
      <c r="D57" s="436" t="s">
        <v>55</v>
      </c>
      <c r="E57" s="437"/>
      <c r="F57" s="75" t="s">
        <v>57</v>
      </c>
      <c r="G57" s="76" t="s">
        <v>103</v>
      </c>
      <c r="H57" s="77" t="s">
        <v>104</v>
      </c>
      <c r="I57" s="7"/>
    </row>
    <row r="58" spans="2:9" ht="12.75">
      <c r="B58" s="17" t="s">
        <v>51</v>
      </c>
      <c r="C58" s="78">
        <v>2</v>
      </c>
      <c r="D58" s="434" t="e">
        <f>D37*D31+D38*D30</f>
        <v>#DIV/0!</v>
      </c>
      <c r="E58" s="435"/>
      <c r="F58" s="438"/>
      <c r="G58" s="439"/>
      <c r="H58" s="440"/>
      <c r="I58" s="80"/>
    </row>
    <row r="59" spans="2:9" ht="12.75">
      <c r="B59" s="17" t="s">
        <v>61</v>
      </c>
      <c r="C59" s="78">
        <f>NB-1</f>
        <v>-1</v>
      </c>
      <c r="D59" s="432" t="e">
        <f>(D31*D33+D30*D34+D32*D35)-D58</f>
        <v>#DIV/0!</v>
      </c>
      <c r="E59" s="433" t="e">
        <f>SumXSY*SlopeS+SumXTaY*SlopeTa+SumXBY*SlopeB</f>
        <v>#DIV/0!</v>
      </c>
      <c r="F59" s="81" t="e">
        <f>IF(C59=0,0,D59/C59)</f>
        <v>#DIV/0!</v>
      </c>
      <c r="G59" s="84" t="e">
        <f>IF(F63=0,0,F59/F63)</f>
        <v>#DIV/0!</v>
      </c>
      <c r="H59" s="82" t="e">
        <f>IF(C59=0,"d.f. = 0",FINV(0.05,C59,C63))</f>
        <v>#NUM!</v>
      </c>
      <c r="I59" s="80"/>
    </row>
    <row r="60" spans="2:9" ht="12.75">
      <c r="B60" s="21" t="s">
        <v>63</v>
      </c>
      <c r="C60" s="78">
        <v>1</v>
      </c>
      <c r="D60" s="432">
        <f>(SUM(C15:H15)-SUM(C16:H16)+SUM($K$15:$P$15)-SUM($K$16:$P$16)+SUM($L$44:$L$44)-SUM($L$45:$L$45))/(Xs+D18+$L$47-2)</f>
        <v>0</v>
      </c>
      <c r="E60" s="433"/>
      <c r="F60" s="83">
        <f>D60/C60</f>
        <v>0</v>
      </c>
      <c r="G60" s="84" t="e">
        <f>IF(F63=0,0,F60/F63)</f>
        <v>#DIV/0!</v>
      </c>
      <c r="H60" s="85" t="e">
        <f>FINV(0.05,C60,C63)</f>
        <v>#NUM!</v>
      </c>
      <c r="I60" s="80"/>
    </row>
    <row r="61" spans="2:9" ht="12.75">
      <c r="B61" s="24" t="s">
        <v>62</v>
      </c>
      <c r="C61" s="76">
        <f>Xs-1</f>
        <v>-1</v>
      </c>
      <c r="D61" s="444" t="e">
        <f>D62-D60-D59-D58</f>
        <v>#DIV/0!</v>
      </c>
      <c r="E61" s="445"/>
      <c r="F61" s="83" t="e">
        <f>D61/C61</f>
        <v>#DIV/0!</v>
      </c>
      <c r="G61" s="74" t="e">
        <f>IF(F63=0,0,F61/F63)</f>
        <v>#DIV/0!</v>
      </c>
      <c r="H61" s="86" t="e">
        <f>FINV(0.05,C61,C63)</f>
        <v>#NUM!</v>
      </c>
      <c r="I61" s="87"/>
    </row>
    <row r="62" spans="2:9" ht="12.75">
      <c r="B62" s="21" t="s">
        <v>58</v>
      </c>
      <c r="C62" s="78">
        <f>SUM(C58:C61)</f>
        <v>1</v>
      </c>
      <c r="D62" s="434" t="e">
        <f>SUM(C16:H16)+SUM($L$45:$L$45)+SUM($K$16:$P$16)-D56</f>
        <v>#DIV/0!</v>
      </c>
      <c r="E62" s="453"/>
      <c r="F62" s="450"/>
      <c r="G62" s="451"/>
      <c r="H62" s="452"/>
      <c r="I62" s="80"/>
    </row>
    <row r="63" spans="2:9" ht="12.75">
      <c r="B63" s="24" t="s">
        <v>59</v>
      </c>
      <c r="C63" s="76">
        <f>C64-C62</f>
        <v>-2</v>
      </c>
      <c r="D63" s="436" t="e">
        <f>D64-D62</f>
        <v>#DIV/0!</v>
      </c>
      <c r="E63" s="446"/>
      <c r="F63" s="120" t="e">
        <f>D63/C63</f>
        <v>#DIV/0!</v>
      </c>
      <c r="G63" s="454"/>
      <c r="H63" s="455"/>
      <c r="I63" s="80"/>
    </row>
    <row r="64" spans="2:9" ht="13.5" thickBot="1">
      <c r="B64" s="66" t="s">
        <v>60</v>
      </c>
      <c r="C64" s="88">
        <f>Ntota-1</f>
        <v>-1</v>
      </c>
      <c r="D64" s="442" t="e">
        <f>(SUM($K$15:$P$15)+SUM($L$44:$L$44)+SUM(C15:H15))-(D23^2)/D20</f>
        <v>#DIV/0!</v>
      </c>
      <c r="E64" s="443"/>
      <c r="F64" s="447"/>
      <c r="G64" s="448"/>
      <c r="H64" s="449"/>
      <c r="I64" s="80"/>
    </row>
    <row r="65" spans="2:9" ht="13.5" thickBot="1">
      <c r="B65" s="8"/>
      <c r="C65" s="8"/>
      <c r="D65" s="8"/>
      <c r="E65" s="8"/>
      <c r="F65" s="8"/>
      <c r="G65" s="8"/>
      <c r="H65" s="8"/>
      <c r="I65" s="7"/>
    </row>
    <row r="66" spans="2:9" ht="12.75">
      <c r="B66" s="89" t="s">
        <v>109</v>
      </c>
      <c r="C66" s="90" t="s">
        <v>68</v>
      </c>
      <c r="D66" s="91" t="s">
        <v>70</v>
      </c>
      <c r="E66" s="92" t="s">
        <v>71</v>
      </c>
      <c r="F66" s="91" t="s">
        <v>72</v>
      </c>
      <c r="G66" s="92" t="s">
        <v>73</v>
      </c>
      <c r="H66" s="93" t="s">
        <v>74</v>
      </c>
      <c r="I66" s="7"/>
    </row>
    <row r="67" spans="2:9" ht="12.75">
      <c r="B67" s="94" t="s">
        <v>24</v>
      </c>
      <c r="C67" s="95">
        <v>0</v>
      </c>
      <c r="D67" s="96"/>
      <c r="E67" s="79"/>
      <c r="F67" s="97"/>
      <c r="G67" s="98"/>
      <c r="H67" s="99" t="e">
        <f>C67*SlopeS+D36</f>
        <v>#DIV/0!</v>
      </c>
      <c r="I67" s="7"/>
    </row>
    <row r="68" spans="2:11" ht="12.75">
      <c r="B68" s="94"/>
      <c r="C68" s="100" t="e">
        <f>IF($K$14,SRA!$C$3,NA())</f>
        <v>#N/A</v>
      </c>
      <c r="D68" s="78" t="e">
        <f>IF(AND($K$14,$K$9),SRA!$C$4,NA())</f>
        <v>#N/A</v>
      </c>
      <c r="E68" s="101" t="e">
        <f>IF(AND($K$14,$K$10),SRA!$C$5,NA())</f>
        <v>#N/A</v>
      </c>
      <c r="F68" s="78" t="e">
        <f>IF(AND($K$14,$K$11),SRA!$C$6,NA())</f>
        <v>#N/A</v>
      </c>
      <c r="G68" s="102" t="e">
        <f>IF(AND($K$14,$K$12),SRA!$C$7,NA())</f>
        <v>#N/A</v>
      </c>
      <c r="H68" s="103" t="e">
        <f>C68*SlopeS+D36</f>
        <v>#N/A</v>
      </c>
      <c r="I68" s="7"/>
      <c r="K68" t="s">
        <v>114</v>
      </c>
    </row>
    <row r="69" spans="2:9" ht="12.75">
      <c r="B69" s="94"/>
      <c r="C69" s="100" t="e">
        <f>IF($L$14,SRA!$D$3,NA())</f>
        <v>#N/A</v>
      </c>
      <c r="D69" s="104" t="e">
        <f>IF(AND($L$14,$L$9),SRA!$D$4,NA())</f>
        <v>#N/A</v>
      </c>
      <c r="E69" s="78" t="e">
        <f>IF(AND($L$14,$L$10),SRA!$D$5,NA())</f>
        <v>#N/A</v>
      </c>
      <c r="F69" s="78" t="e">
        <f>IF(AND($L$14,$L$11),SRA!$D$6,NA())</f>
        <v>#N/A</v>
      </c>
      <c r="G69" s="102" t="e">
        <f>IF(AND($L$14,$L$12),SRA!$D$7,NA())</f>
        <v>#N/A</v>
      </c>
      <c r="H69" s="103" t="e">
        <f>C69*SlopeS+D36</f>
        <v>#N/A</v>
      </c>
      <c r="I69" s="7"/>
    </row>
    <row r="70" spans="2:9" ht="12.75">
      <c r="B70" s="94"/>
      <c r="C70" s="100" t="e">
        <f>IF($M$14,SRA!$E$3,NA())</f>
        <v>#N/A</v>
      </c>
      <c r="D70" s="78" t="e">
        <f>IF(AND($M$14,$M$9),SRA!$E$4,NA())</f>
        <v>#N/A</v>
      </c>
      <c r="E70" s="78" t="e">
        <f>IF(AND($M$14,$M$10),SRA!$E$5,NA())</f>
        <v>#N/A</v>
      </c>
      <c r="F70" s="78" t="e">
        <f>IF(AND($M$14,$M$11),SRA!$E$6,NA())</f>
        <v>#N/A</v>
      </c>
      <c r="G70" s="102" t="e">
        <f>IF(AND($M$14,$M$12),SRA!$E$7,NA())</f>
        <v>#N/A</v>
      </c>
      <c r="H70" s="103" t="e">
        <f>C70*SlopeS+D36</f>
        <v>#N/A</v>
      </c>
      <c r="I70" s="7"/>
    </row>
    <row r="71" spans="2:9" ht="12.75">
      <c r="B71" s="94"/>
      <c r="C71" s="100" t="e">
        <f>IF($N$14,SRA!$F$3,NA())</f>
        <v>#N/A</v>
      </c>
      <c r="D71" s="78" t="e">
        <f>IF(AND($N$14,$N$9),SRA!$F$4,NA())</f>
        <v>#N/A</v>
      </c>
      <c r="E71" s="78" t="e">
        <f>IF(AND($N$14,$N$10),SRA!$F$5,NA())</f>
        <v>#N/A</v>
      </c>
      <c r="F71" s="78" t="e">
        <f>IF(AND($N$14,$N$11),SRA!$F$6,NA())</f>
        <v>#N/A</v>
      </c>
      <c r="G71" s="102" t="e">
        <f>IF(AND($N$14,$N$12),SRA!$F$7,NA())</f>
        <v>#N/A</v>
      </c>
      <c r="H71" s="103" t="e">
        <f>C71*SlopeS+D36</f>
        <v>#N/A</v>
      </c>
      <c r="I71" s="7"/>
    </row>
    <row r="72" spans="2:9" ht="12.75">
      <c r="B72" s="94"/>
      <c r="C72" s="100" t="e">
        <f>IF($O$14,SRA!$G$3,NA())</f>
        <v>#N/A</v>
      </c>
      <c r="D72" s="78" t="e">
        <f>IF(AND($O$14,$O$9),SRA!$G$4,NA())</f>
        <v>#N/A</v>
      </c>
      <c r="E72" s="78" t="e">
        <f>IF(AND($O$14,$O$10),SRA!$G$5,NA())</f>
        <v>#N/A</v>
      </c>
      <c r="F72" s="78" t="e">
        <f>IF(AND($O$14,$O$11),SRA!$G$6,NA())</f>
        <v>#N/A</v>
      </c>
      <c r="G72" s="102" t="e">
        <f>IF(AND($O$14,$O$12),SRA!$G$7,NA())</f>
        <v>#N/A</v>
      </c>
      <c r="H72" s="103" t="e">
        <f>C72*SlopeS+D36</f>
        <v>#N/A</v>
      </c>
      <c r="I72" s="7"/>
    </row>
    <row r="73" spans="2:9" ht="12.75">
      <c r="B73" s="94"/>
      <c r="C73" s="105" t="e">
        <f>IF($P$14,SRA!$H$3,NA())</f>
        <v>#N/A</v>
      </c>
      <c r="D73" s="76" t="e">
        <f>IF(AND($P$14,$P$9),SRA!$H$4,NA())</f>
        <v>#N/A</v>
      </c>
      <c r="E73" s="76" t="e">
        <f>IF(AND($P$14,$P$10),SRA!$H$5,NA())</f>
        <v>#N/A</v>
      </c>
      <c r="F73" s="76" t="e">
        <f>IF(AND($P$14,$P$11),SRA!$H$6,NA())</f>
        <v>#N/A</v>
      </c>
      <c r="G73" s="75" t="e">
        <f>IF(AND($P$14,$P$12),SRA!$H$7,NA())</f>
        <v>#N/A</v>
      </c>
      <c r="H73" s="106" t="e">
        <f>C73*SlopeS+D36</f>
        <v>#N/A</v>
      </c>
      <c r="I73" s="7"/>
    </row>
    <row r="74" spans="2:9" ht="12.75">
      <c r="B74" s="107" t="s">
        <v>61</v>
      </c>
      <c r="C74" s="102">
        <v>0</v>
      </c>
      <c r="D74" s="78" t="e">
        <f>IF(AND($L$43,$L$30),SRA!$L$4,NA())</f>
        <v>#N/A</v>
      </c>
      <c r="E74" s="102" t="e">
        <f>IF(AND($L$43,$L$31),SRA!$L$5,NA())</f>
        <v>#N/A</v>
      </c>
      <c r="F74" s="78" t="e">
        <f>IF(AND($L$43,$L$32),SRA!$L$6,NA())</f>
        <v>#N/A</v>
      </c>
      <c r="G74" s="78" t="e">
        <f>IF(AND($L$43,$L$33),SRA!$L$7,NA())</f>
        <v>#N/A</v>
      </c>
      <c r="H74" s="108"/>
      <c r="I74" s="7"/>
    </row>
    <row r="75" spans="2:9" ht="12.75">
      <c r="B75" s="109"/>
      <c r="C75" s="102">
        <v>0</v>
      </c>
      <c r="D75" s="78" t="e">
        <f>IF(AND($L$43,$L$34),SRA!$L$8,NA())</f>
        <v>#N/A</v>
      </c>
      <c r="E75" s="102" t="e">
        <f>IF(AND($L$43,$L$35),SRA!$L$9,NA())</f>
        <v>#N/A</v>
      </c>
      <c r="F75" s="78" t="e">
        <f>IF(AND($L$43,$L$36),SRA!$L$10,NA())</f>
        <v>#N/A</v>
      </c>
      <c r="G75" s="78" t="e">
        <f>IF(AND($L$43,$L$37),SRA!$L$11,NA())</f>
        <v>#N/A</v>
      </c>
      <c r="H75" s="108"/>
      <c r="I75" s="7"/>
    </row>
    <row r="76" spans="2:9" ht="12.75">
      <c r="B76" s="110"/>
      <c r="C76" s="102">
        <v>0</v>
      </c>
      <c r="D76" s="78" t="e">
        <f>IF(AND($L$43,$L$38),SRA!$L$12,NA())</f>
        <v>#N/A</v>
      </c>
      <c r="E76" s="102" t="e">
        <f>IF(AND($L$43,$L$39),SRA!$L$13,NA())</f>
        <v>#N/A</v>
      </c>
      <c r="F76" s="78" t="e">
        <f>IF(AND($L$43,$L$40),SRA!$L$14,NA())</f>
        <v>#N/A</v>
      </c>
      <c r="G76" s="78" t="e">
        <f>IF(AND($L$43,$L$41),SRA!$L$15,NA())</f>
        <v>#N/A</v>
      </c>
      <c r="H76" s="108"/>
      <c r="I76" s="7"/>
    </row>
    <row r="77" spans="2:9" ht="12.75">
      <c r="B77" s="94" t="s">
        <v>69</v>
      </c>
      <c r="C77" s="95">
        <v>0</v>
      </c>
      <c r="D77" s="96"/>
      <c r="E77" s="79"/>
      <c r="F77" s="97"/>
      <c r="G77" s="98"/>
      <c r="H77" s="99" t="e">
        <f aca="true" t="shared" si="4" ref="H77:H83">C77*SlopeTa+$D$36</f>
        <v>#DIV/0!</v>
      </c>
      <c r="I77" s="7"/>
    </row>
    <row r="78" spans="2:9" ht="12.75">
      <c r="B78" s="94"/>
      <c r="C78" s="100" t="e">
        <f>IF(C14,SRA!C10,NA())</f>
        <v>#N/A</v>
      </c>
      <c r="D78" s="78" t="e">
        <f>IF(AND(C14,C9),SRA!C11,NA())</f>
        <v>#N/A</v>
      </c>
      <c r="E78" s="102" t="e">
        <f>IF(AND(C14,C10),SRA!C12,NA())</f>
        <v>#N/A</v>
      </c>
      <c r="F78" s="78" t="e">
        <f>IF(AND(C14,C11),SRA!C13,NA())</f>
        <v>#N/A</v>
      </c>
      <c r="G78" s="102" t="e">
        <f>IF(C14="TRUE",SRA!C14,NA())</f>
        <v>#N/A</v>
      </c>
      <c r="H78" s="103" t="e">
        <f t="shared" si="4"/>
        <v>#N/A</v>
      </c>
      <c r="I78" s="7"/>
    </row>
    <row r="79" spans="2:9" ht="12.75">
      <c r="B79" s="94"/>
      <c r="C79" s="100" t="e">
        <f>IF(D14,SRA!D10,NA())</f>
        <v>#N/A</v>
      </c>
      <c r="D79" s="78" t="e">
        <f>IF(AND(D14,D9),SRA!D11,NA())</f>
        <v>#N/A</v>
      </c>
      <c r="E79" s="102" t="e">
        <f>IF(AND(D14,D10),SRA!D12,NA())</f>
        <v>#N/A</v>
      </c>
      <c r="F79" s="78" t="e">
        <f>IF(AND(D14,D11),SRA!D13,NA())</f>
        <v>#N/A</v>
      </c>
      <c r="G79" s="102" t="e">
        <f>IF(AND(D14,D12),SRA!D14,NA())</f>
        <v>#N/A</v>
      </c>
      <c r="H79" s="103" t="e">
        <f t="shared" si="4"/>
        <v>#N/A</v>
      </c>
      <c r="I79" s="7"/>
    </row>
    <row r="80" spans="2:9" ht="12.75">
      <c r="B80" s="94"/>
      <c r="C80" s="100" t="e">
        <f>IF(E14,SRA!E10,NA())</f>
        <v>#N/A</v>
      </c>
      <c r="D80" s="78" t="e">
        <f>IF(AND(E14,E9),SRA!E11,NA())</f>
        <v>#N/A</v>
      </c>
      <c r="E80" s="102" t="e">
        <f>IF(AND(E14,E10),SRA!E12,NA())</f>
        <v>#N/A</v>
      </c>
      <c r="F80" s="78" t="e">
        <f>IF(AND(E14,E11),SRA!E13,NA())</f>
        <v>#N/A</v>
      </c>
      <c r="G80" s="102" t="e">
        <f>IF(AND(E14,E12),SRA!E14,NA())</f>
        <v>#N/A</v>
      </c>
      <c r="H80" s="103" t="e">
        <f t="shared" si="4"/>
        <v>#N/A</v>
      </c>
      <c r="I80" s="7"/>
    </row>
    <row r="81" spans="2:9" ht="12.75">
      <c r="B81" s="94"/>
      <c r="C81" s="100" t="e">
        <f>IF(F14,SRA!F10,NA())</f>
        <v>#N/A</v>
      </c>
      <c r="D81" s="78" t="e">
        <f>IF(AND(F14,F9),SRA!F11,NA())</f>
        <v>#N/A</v>
      </c>
      <c r="E81" s="102" t="e">
        <f>IF(AND(F14,F10),SRA!F12,NA())</f>
        <v>#N/A</v>
      </c>
      <c r="F81" s="78" t="e">
        <f>IF(AND(F14,F11),SRA!F13,NA())</f>
        <v>#N/A</v>
      </c>
      <c r="G81" s="102" t="e">
        <f>IF(AND(F14,F12),SRA!F14,NA())</f>
        <v>#N/A</v>
      </c>
      <c r="H81" s="103" t="e">
        <f t="shared" si="4"/>
        <v>#N/A</v>
      </c>
      <c r="I81" s="7"/>
    </row>
    <row r="82" spans="2:9" ht="12.75">
      <c r="B82" s="94"/>
      <c r="C82" s="100" t="e">
        <f>IF(G14,SRA!G10,NA())</f>
        <v>#N/A</v>
      </c>
      <c r="D82" s="78" t="e">
        <f>IF(AND(G14,G9),SRA!G11,NA())</f>
        <v>#N/A</v>
      </c>
      <c r="E82" s="102" t="e">
        <f>IF(AND(G14,G10),SRA!G12,NA())</f>
        <v>#N/A</v>
      </c>
      <c r="F82" s="78" t="e">
        <f>IF(AND(G14,G11),SRA!G13,NA())</f>
        <v>#N/A</v>
      </c>
      <c r="G82" s="102" t="e">
        <f>IF(AND(G14,G12),SRA!G14,NA())</f>
        <v>#N/A</v>
      </c>
      <c r="H82" s="103" t="e">
        <f t="shared" si="4"/>
        <v>#N/A</v>
      </c>
      <c r="I82" s="7"/>
    </row>
    <row r="83" spans="2:9" ht="13.5" thickBot="1">
      <c r="B83" s="111"/>
      <c r="C83" s="112" t="e">
        <f>IF(H14,SRA!H10,NA())</f>
        <v>#N/A</v>
      </c>
      <c r="D83" s="88" t="e">
        <f>IF(AND(H14,H9),SRA!H11,NA())</f>
        <v>#N/A</v>
      </c>
      <c r="E83" s="113" t="e">
        <f>IF(AND(H14,H10),SRA!H12,NA())</f>
        <v>#N/A</v>
      </c>
      <c r="F83" s="88" t="e">
        <f>IF(AND(H14,H11),SRA!H13,NA())</f>
        <v>#N/A</v>
      </c>
      <c r="G83" s="113" t="e">
        <f>IF(AND(H14,H12),SRA!H14,NA())</f>
        <v>#N/A</v>
      </c>
      <c r="H83" s="114" t="e">
        <f t="shared" si="4"/>
        <v>#N/A</v>
      </c>
      <c r="I83" s="7"/>
    </row>
    <row r="84" spans="2:9" ht="12.75">
      <c r="B84" s="9"/>
      <c r="C84" s="102"/>
      <c r="D84" s="9"/>
      <c r="E84" s="9"/>
      <c r="F84" s="9"/>
      <c r="G84" s="9"/>
      <c r="H84" s="9"/>
      <c r="I84" s="9"/>
    </row>
    <row r="85" spans="2:9" ht="12.75">
      <c r="B85" s="9"/>
      <c r="C85" s="102"/>
      <c r="D85" s="9"/>
      <c r="E85" s="9"/>
      <c r="F85" s="9"/>
      <c r="G85" s="9"/>
      <c r="H85" s="9"/>
      <c r="I85" s="9"/>
    </row>
    <row r="86" spans="2:9" ht="12.75">
      <c r="B86" s="9"/>
      <c r="C86" s="9"/>
      <c r="D86" s="9"/>
      <c r="E86" s="9"/>
      <c r="F86" s="9"/>
      <c r="G86" s="9"/>
      <c r="H86" s="9"/>
      <c r="I86" s="9"/>
    </row>
    <row r="87" spans="2:9" ht="12.75">
      <c r="B87" s="9"/>
      <c r="C87" s="9"/>
      <c r="D87" s="9"/>
      <c r="E87" s="9"/>
      <c r="F87" s="9"/>
      <c r="G87" s="9"/>
      <c r="H87" s="9"/>
      <c r="I87" s="115"/>
    </row>
    <row r="88" spans="2:9" ht="12.75">
      <c r="B88" s="9"/>
      <c r="C88" s="9"/>
      <c r="D88" s="9"/>
      <c r="E88" s="9"/>
      <c r="F88" s="9"/>
      <c r="G88" s="9"/>
      <c r="H88" s="9"/>
      <c r="I88" s="115"/>
    </row>
    <row r="89" spans="2:9" ht="12.75">
      <c r="B89" s="9"/>
      <c r="C89" s="9"/>
      <c r="D89" s="9"/>
      <c r="E89" s="9"/>
      <c r="F89" s="9"/>
      <c r="G89" s="9"/>
      <c r="H89" s="9"/>
      <c r="I89" s="115"/>
    </row>
    <row r="90" spans="2:9" ht="12.75">
      <c r="B90" s="9"/>
      <c r="C90" s="9"/>
      <c r="D90" s="9"/>
      <c r="E90" s="9"/>
      <c r="F90" s="9"/>
      <c r="G90" s="9"/>
      <c r="H90" s="9"/>
      <c r="I90" s="115"/>
    </row>
    <row r="91" spans="2:9" ht="12.75">
      <c r="B91" s="9"/>
      <c r="C91" s="9"/>
      <c r="D91" s="9"/>
      <c r="E91" s="9"/>
      <c r="F91" s="9"/>
      <c r="G91" s="9"/>
      <c r="H91" s="9"/>
      <c r="I91" s="116"/>
    </row>
    <row r="92" spans="2:9" ht="12.75">
      <c r="B92" s="9"/>
      <c r="C92" s="9"/>
      <c r="D92" s="9"/>
      <c r="E92" s="9"/>
      <c r="F92" s="9"/>
      <c r="G92" s="9"/>
      <c r="H92" s="9"/>
      <c r="I92" s="116"/>
    </row>
    <row r="93" spans="2:9" ht="12.75">
      <c r="B93" s="9"/>
      <c r="C93" s="9"/>
      <c r="D93" s="9"/>
      <c r="E93" s="9"/>
      <c r="F93" s="9"/>
      <c r="G93" s="9"/>
      <c r="H93" s="9"/>
      <c r="I93" s="115"/>
    </row>
    <row r="94" spans="2:9" ht="12.75">
      <c r="B94" s="9"/>
      <c r="C94" s="9"/>
      <c r="D94" s="9"/>
      <c r="E94" s="9"/>
      <c r="F94" s="9"/>
      <c r="G94" s="9"/>
      <c r="H94" s="9"/>
      <c r="I94" s="115"/>
    </row>
    <row r="95" spans="2:9" ht="12.75">
      <c r="B95" s="9"/>
      <c r="C95" s="9"/>
      <c r="D95" s="9"/>
      <c r="E95" s="9"/>
      <c r="F95" s="9"/>
      <c r="G95" s="9"/>
      <c r="H95" s="9"/>
      <c r="I95" s="115"/>
    </row>
    <row r="96" spans="2:9" ht="12.75">
      <c r="B96" s="9"/>
      <c r="C96" s="9"/>
      <c r="D96" s="9"/>
      <c r="E96" s="9"/>
      <c r="F96" s="9"/>
      <c r="G96" s="9"/>
      <c r="H96" s="9"/>
      <c r="I96" s="115"/>
    </row>
    <row r="97" spans="2:9" ht="12.75">
      <c r="B97" s="9"/>
      <c r="C97" s="9"/>
      <c r="D97" s="9"/>
      <c r="E97" s="9"/>
      <c r="F97" s="9"/>
      <c r="G97" s="9"/>
      <c r="H97" s="9"/>
      <c r="I97" s="115"/>
    </row>
    <row r="98" spans="2:9" ht="12.75">
      <c r="B98" s="9"/>
      <c r="C98" s="9"/>
      <c r="D98" s="9"/>
      <c r="E98" s="9"/>
      <c r="F98" s="9"/>
      <c r="G98" s="9"/>
      <c r="H98" s="9"/>
      <c r="I98" s="115"/>
    </row>
    <row r="99" spans="2:9" ht="12.75">
      <c r="B99" s="9"/>
      <c r="C99" s="9"/>
      <c r="D99" s="9"/>
      <c r="E99" s="9"/>
      <c r="F99" s="9"/>
      <c r="G99" s="9"/>
      <c r="H99" s="9"/>
      <c r="I99" s="115"/>
    </row>
    <row r="100" spans="2:9" ht="12.75">
      <c r="B100" s="9"/>
      <c r="C100" s="9"/>
      <c r="D100" s="9"/>
      <c r="E100" s="9"/>
      <c r="F100" s="9"/>
      <c r="G100" s="9"/>
      <c r="H100" s="9"/>
      <c r="I100" s="115"/>
    </row>
    <row r="101" spans="2:9" ht="12.75">
      <c r="B101" s="9"/>
      <c r="C101" s="9"/>
      <c r="D101" s="9"/>
      <c r="E101" s="9"/>
      <c r="F101" s="9"/>
      <c r="G101" s="9"/>
      <c r="H101" s="9"/>
      <c r="I101" s="115"/>
    </row>
    <row r="102" spans="2:9" ht="12.75">
      <c r="B102" s="9"/>
      <c r="C102" s="9"/>
      <c r="D102" s="9"/>
      <c r="E102" s="9"/>
      <c r="F102" s="9"/>
      <c r="G102" s="9"/>
      <c r="H102" s="9"/>
      <c r="I102" s="115"/>
    </row>
    <row r="103" spans="2:12" ht="12.75">
      <c r="B103" s="9"/>
      <c r="C103" s="9"/>
      <c r="D103" s="9"/>
      <c r="E103" s="9"/>
      <c r="F103" s="9"/>
      <c r="G103" s="9"/>
      <c r="H103" s="9"/>
      <c r="I103" s="12"/>
      <c r="J103" s="1"/>
      <c r="K103" s="1"/>
      <c r="L103" s="1"/>
    </row>
    <row r="104" spans="2:12" ht="12.75">
      <c r="B104" s="9"/>
      <c r="C104" s="9"/>
      <c r="D104" s="9"/>
      <c r="E104" s="9"/>
      <c r="F104" s="9"/>
      <c r="G104" s="9"/>
      <c r="H104" s="9"/>
      <c r="I104" s="12"/>
      <c r="J104" s="1"/>
      <c r="K104" s="1"/>
      <c r="L104" s="1"/>
    </row>
    <row r="105" spans="2:9" ht="12.75">
      <c r="B105" s="9"/>
      <c r="C105" s="9"/>
      <c r="D105" s="9"/>
      <c r="E105" s="9"/>
      <c r="F105" s="9"/>
      <c r="G105" s="9"/>
      <c r="H105" s="9"/>
      <c r="I105" s="12"/>
    </row>
    <row r="106" spans="2:9" ht="12.75">
      <c r="B106" s="10"/>
      <c r="C106" s="11"/>
      <c r="D106" s="10"/>
      <c r="E106" s="10"/>
      <c r="F106" s="10"/>
      <c r="G106" s="10"/>
      <c r="H106" s="10"/>
      <c r="I106" s="13"/>
    </row>
    <row r="107" spans="2:9" ht="12.75">
      <c r="B107" s="12"/>
      <c r="C107" s="12"/>
      <c r="D107" s="12"/>
      <c r="E107" s="12"/>
      <c r="F107" s="12"/>
      <c r="G107" s="12"/>
      <c r="H107" s="12"/>
      <c r="I107" s="12"/>
    </row>
    <row r="108" spans="2:9" ht="12.75">
      <c r="B108" s="12"/>
      <c r="C108" s="12"/>
      <c r="D108" s="12"/>
      <c r="E108" s="12"/>
      <c r="F108" s="12"/>
      <c r="G108" s="12"/>
      <c r="H108" s="12"/>
      <c r="I108" s="12"/>
    </row>
    <row r="109" spans="2:9" ht="12.75">
      <c r="B109" s="11"/>
      <c r="C109" s="13"/>
      <c r="D109" s="13"/>
      <c r="E109" s="13"/>
      <c r="F109" s="13"/>
      <c r="G109" s="13"/>
      <c r="H109" s="13"/>
      <c r="I109" s="10"/>
    </row>
    <row r="110" spans="2:9" ht="12.75">
      <c r="B110" s="11"/>
      <c r="C110" s="13"/>
      <c r="D110" s="13"/>
      <c r="E110" s="13"/>
      <c r="F110" s="13"/>
      <c r="G110" s="13"/>
      <c r="H110" s="13"/>
      <c r="I110" s="10"/>
    </row>
    <row r="111" spans="2:9" ht="12.75">
      <c r="B111" s="11"/>
      <c r="C111" s="9"/>
      <c r="D111" s="9"/>
      <c r="E111" s="9"/>
      <c r="F111" s="13"/>
      <c r="G111" s="13"/>
      <c r="H111" s="13"/>
      <c r="I111" s="10"/>
    </row>
    <row r="112" spans="2:9" ht="12.75">
      <c r="B112" s="10"/>
      <c r="C112" s="13"/>
      <c r="D112" s="13"/>
      <c r="E112" s="13"/>
      <c r="F112" s="10"/>
      <c r="G112" s="10"/>
      <c r="H112" s="10"/>
      <c r="I112" s="10"/>
    </row>
    <row r="113" spans="2:9" ht="12.75">
      <c r="B113" s="10"/>
      <c r="C113" s="10"/>
      <c r="D113" s="10"/>
      <c r="E113" s="10"/>
      <c r="F113" s="10"/>
      <c r="G113" s="10"/>
      <c r="H113" s="10"/>
      <c r="I113" s="10"/>
    </row>
    <row r="114" spans="2:9" ht="12.75">
      <c r="B114" s="10"/>
      <c r="C114" s="10"/>
      <c r="D114" s="10"/>
      <c r="E114" s="10"/>
      <c r="F114" s="10"/>
      <c r="G114" s="10"/>
      <c r="H114" s="10"/>
      <c r="I114" s="10"/>
    </row>
    <row r="115" spans="2:9" ht="12.75">
      <c r="B115" s="10"/>
      <c r="C115" s="10"/>
      <c r="D115" s="10"/>
      <c r="E115" s="10"/>
      <c r="F115" s="10"/>
      <c r="G115" s="10"/>
      <c r="H115" s="10"/>
      <c r="I115" s="10"/>
    </row>
    <row r="116" spans="2:9" ht="12.75">
      <c r="B116" s="10"/>
      <c r="C116" s="10"/>
      <c r="D116" s="10"/>
      <c r="E116" s="10"/>
      <c r="F116" s="10"/>
      <c r="G116" s="10"/>
      <c r="H116" s="10"/>
      <c r="I116" s="10"/>
    </row>
    <row r="117" spans="2:9" ht="12.75">
      <c r="B117" s="10"/>
      <c r="C117" s="10"/>
      <c r="D117" s="10"/>
      <c r="E117" s="10"/>
      <c r="F117" s="10"/>
      <c r="G117" s="10"/>
      <c r="H117" s="10"/>
      <c r="I117" s="10"/>
    </row>
    <row r="118" spans="2:9" ht="12.75">
      <c r="B118" s="10"/>
      <c r="C118" s="10"/>
      <c r="D118" s="10"/>
      <c r="E118" s="10"/>
      <c r="F118" s="10"/>
      <c r="G118" s="10"/>
      <c r="H118" s="10"/>
      <c r="I118" s="10"/>
    </row>
    <row r="119" spans="2:9" ht="12.75">
      <c r="B119" s="10"/>
      <c r="C119" s="10"/>
      <c r="D119" s="10"/>
      <c r="E119" s="10"/>
      <c r="F119" s="10"/>
      <c r="G119" s="10"/>
      <c r="H119" s="10"/>
      <c r="I119" s="10"/>
    </row>
    <row r="120" spans="2:9" ht="12.75">
      <c r="B120" s="10"/>
      <c r="C120" s="10"/>
      <c r="D120" s="10"/>
      <c r="E120" s="10"/>
      <c r="F120" s="10"/>
      <c r="G120" s="10"/>
      <c r="H120" s="10"/>
      <c r="I120" s="10"/>
    </row>
    <row r="121" spans="2:9" ht="12.75">
      <c r="B121" s="10"/>
      <c r="C121" s="10"/>
      <c r="D121" s="10"/>
      <c r="E121" s="10"/>
      <c r="F121" s="10"/>
      <c r="G121" s="10"/>
      <c r="H121" s="10"/>
      <c r="I121" s="10"/>
    </row>
    <row r="122" spans="2:9" ht="12.75">
      <c r="B122" s="10"/>
      <c r="C122" s="10"/>
      <c r="D122" s="10"/>
      <c r="E122" s="10"/>
      <c r="F122" s="10"/>
      <c r="G122" s="10"/>
      <c r="H122" s="10"/>
      <c r="I122" s="10"/>
    </row>
    <row r="123" spans="2:9" ht="12.75">
      <c r="B123" s="10"/>
      <c r="C123" s="10"/>
      <c r="D123" s="10"/>
      <c r="E123" s="10"/>
      <c r="F123" s="10"/>
      <c r="G123" s="10"/>
      <c r="H123" s="10"/>
      <c r="I123" s="10"/>
    </row>
    <row r="124" spans="2:9" ht="12.75">
      <c r="B124" s="10"/>
      <c r="C124" s="10"/>
      <c r="D124" s="10"/>
      <c r="E124" s="10"/>
      <c r="F124" s="10"/>
      <c r="G124" s="10"/>
      <c r="H124" s="10"/>
      <c r="I124" s="10"/>
    </row>
    <row r="125" spans="2:9" ht="12.75">
      <c r="B125" s="10"/>
      <c r="C125" s="10"/>
      <c r="D125" s="10"/>
      <c r="E125" s="10"/>
      <c r="F125" s="10"/>
      <c r="G125" s="10"/>
      <c r="H125" s="10"/>
      <c r="I125" s="10"/>
    </row>
    <row r="126" spans="2:9" ht="12.75">
      <c r="B126" s="10"/>
      <c r="C126" s="10"/>
      <c r="D126" s="10"/>
      <c r="E126" s="10"/>
      <c r="F126" s="10"/>
      <c r="G126" s="10"/>
      <c r="H126" s="10"/>
      <c r="I126" s="10"/>
    </row>
    <row r="127" spans="2:9" ht="12.75">
      <c r="B127" s="10"/>
      <c r="C127" s="10"/>
      <c r="D127" s="10"/>
      <c r="E127" s="10"/>
      <c r="F127" s="10"/>
      <c r="G127" s="10"/>
      <c r="H127" s="10"/>
      <c r="I127" s="10"/>
    </row>
    <row r="128" spans="2:9" ht="12.75">
      <c r="B128" s="10"/>
      <c r="C128" s="10"/>
      <c r="D128" s="10"/>
      <c r="E128" s="10"/>
      <c r="F128" s="10"/>
      <c r="G128" s="10"/>
      <c r="H128" s="10"/>
      <c r="I128" s="10"/>
    </row>
    <row r="129" spans="2:9" ht="12.75">
      <c r="B129" s="10"/>
      <c r="C129" s="10"/>
      <c r="D129" s="10"/>
      <c r="E129" s="10"/>
      <c r="F129" s="10"/>
      <c r="G129" s="10"/>
      <c r="H129" s="10"/>
      <c r="I129" s="10"/>
    </row>
    <row r="130" spans="2:9" ht="12.75">
      <c r="B130" s="10"/>
      <c r="C130" s="10"/>
      <c r="D130" s="10"/>
      <c r="E130" s="10"/>
      <c r="F130" s="10"/>
      <c r="G130" s="10"/>
      <c r="H130" s="10"/>
      <c r="I130" s="10"/>
    </row>
    <row r="131" spans="2:9" ht="12.75">
      <c r="B131" s="10"/>
      <c r="C131" s="10"/>
      <c r="D131" s="10"/>
      <c r="E131" s="10"/>
      <c r="F131" s="10"/>
      <c r="G131" s="10"/>
      <c r="H131" s="10"/>
      <c r="I131" s="10"/>
    </row>
    <row r="132" spans="2:9" ht="12.75">
      <c r="B132" s="10"/>
      <c r="C132" s="10"/>
      <c r="D132" s="10"/>
      <c r="E132" s="10"/>
      <c r="F132" s="10"/>
      <c r="G132" s="10"/>
      <c r="H132" s="10"/>
      <c r="I132" s="10"/>
    </row>
    <row r="133" spans="2:9" ht="12.75">
      <c r="B133" s="10"/>
      <c r="C133" s="10"/>
      <c r="D133" s="10"/>
      <c r="E133" s="10"/>
      <c r="F133" s="10"/>
      <c r="G133" s="10"/>
      <c r="H133" s="10"/>
      <c r="I133" s="10"/>
    </row>
    <row r="134" spans="2:9" ht="12.75">
      <c r="B134" s="10"/>
      <c r="C134" s="10"/>
      <c r="D134" s="10"/>
      <c r="E134" s="10"/>
      <c r="F134" s="10"/>
      <c r="G134" s="10"/>
      <c r="H134" s="10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3"/>
      <c r="C136" s="13"/>
      <c r="D136" s="13"/>
      <c r="E136" s="13"/>
      <c r="F136" s="13"/>
      <c r="G136" s="10"/>
      <c r="H136" s="10"/>
      <c r="I136" s="10"/>
    </row>
    <row r="137" spans="2:9" ht="12.75">
      <c r="B137" s="13"/>
      <c r="C137" s="13"/>
      <c r="D137" s="13"/>
      <c r="E137" s="13"/>
      <c r="F137" s="13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17"/>
      <c r="C139" s="10"/>
      <c r="D139" s="10"/>
      <c r="E139" s="10"/>
      <c r="F139" s="10"/>
      <c r="G139" s="10"/>
      <c r="H139" s="10"/>
      <c r="I139" s="10"/>
    </row>
    <row r="140" spans="2:9" ht="12.75">
      <c r="B140" s="117"/>
      <c r="C140" s="10"/>
      <c r="D140" s="10"/>
      <c r="E140" s="10"/>
      <c r="F140" s="10"/>
      <c r="G140" s="10"/>
      <c r="H140" s="10"/>
      <c r="I140" s="10"/>
    </row>
    <row r="141" spans="2:9" ht="12.75">
      <c r="B141" s="10"/>
      <c r="C141" s="10"/>
      <c r="D141" s="10"/>
      <c r="E141" s="10"/>
      <c r="F141" s="10"/>
      <c r="G141" s="10"/>
      <c r="H141" s="10"/>
      <c r="I141" s="10"/>
    </row>
    <row r="142" spans="2:9" ht="12.75">
      <c r="B142" s="10"/>
      <c r="C142" s="10"/>
      <c r="D142" s="10"/>
      <c r="E142" s="10"/>
      <c r="F142" s="10"/>
      <c r="G142" s="10"/>
      <c r="H142" s="10"/>
      <c r="I142" s="10"/>
    </row>
    <row r="143" spans="2:9" ht="12.75">
      <c r="B143" s="10"/>
      <c r="C143" s="10"/>
      <c r="D143" s="10"/>
      <c r="E143" s="10"/>
      <c r="F143" s="10"/>
      <c r="G143" s="10"/>
      <c r="H143" s="10"/>
      <c r="I143" s="10"/>
    </row>
    <row r="144" spans="2:9" ht="12.75">
      <c r="B144" s="10"/>
      <c r="C144" s="10"/>
      <c r="D144" s="10"/>
      <c r="E144" s="10"/>
      <c r="F144" s="10"/>
      <c r="G144" s="10"/>
      <c r="H144" s="10"/>
      <c r="I144" s="10"/>
    </row>
    <row r="145" spans="2:9" ht="12.75">
      <c r="B145" s="10"/>
      <c r="C145" s="10"/>
      <c r="D145" s="10"/>
      <c r="E145" s="10"/>
      <c r="F145" s="10"/>
      <c r="G145" s="10"/>
      <c r="H145" s="10"/>
      <c r="I145" s="10"/>
    </row>
    <row r="146" spans="2:9" ht="12.75">
      <c r="B146" s="10"/>
      <c r="C146" s="10"/>
      <c r="D146" s="10"/>
      <c r="E146" s="10"/>
      <c r="F146" s="10"/>
      <c r="G146" s="10"/>
      <c r="H146" s="10"/>
      <c r="I146" s="10"/>
    </row>
    <row r="147" spans="2:9" ht="12.75">
      <c r="B147" s="10"/>
      <c r="C147" s="10"/>
      <c r="D147" s="10"/>
      <c r="E147" s="10"/>
      <c r="F147" s="10"/>
      <c r="G147" s="10"/>
      <c r="H147" s="10"/>
      <c r="I147" s="10"/>
    </row>
    <row r="148" spans="2:9" ht="12.75">
      <c r="B148" s="10"/>
      <c r="C148" s="10"/>
      <c r="D148" s="10"/>
      <c r="E148" s="10"/>
      <c r="F148" s="10"/>
      <c r="G148" s="10"/>
      <c r="H148" s="10"/>
      <c r="I148" s="10"/>
    </row>
    <row r="149" spans="2:9" ht="12.75">
      <c r="B149" s="10"/>
      <c r="C149" s="10"/>
      <c r="D149" s="10"/>
      <c r="E149" s="10"/>
      <c r="F149" s="10"/>
      <c r="G149" s="10"/>
      <c r="H149" s="10"/>
      <c r="I149" s="10"/>
    </row>
    <row r="150" spans="2:9" ht="12.75">
      <c r="B150" s="10"/>
      <c r="C150" s="10"/>
      <c r="D150" s="10"/>
      <c r="E150" s="10"/>
      <c r="F150" s="10"/>
      <c r="G150" s="10"/>
      <c r="H150" s="10"/>
      <c r="I150" s="10"/>
    </row>
    <row r="151" spans="2:9" ht="12.75">
      <c r="B151" s="10"/>
      <c r="C151" s="10"/>
      <c r="D151" s="10"/>
      <c r="E151" s="10"/>
      <c r="F151" s="10"/>
      <c r="G151" s="10"/>
      <c r="H151" s="10"/>
      <c r="I151" s="10"/>
    </row>
    <row r="152" spans="2:9" ht="12.75">
      <c r="B152" s="10"/>
      <c r="C152" s="10"/>
      <c r="D152" s="10"/>
      <c r="E152" s="10"/>
      <c r="F152" s="10"/>
      <c r="G152" s="10"/>
      <c r="H152" s="10"/>
      <c r="I152" s="10"/>
    </row>
    <row r="153" spans="2:9" ht="12.75">
      <c r="B153" s="10"/>
      <c r="C153" s="10"/>
      <c r="D153" s="10"/>
      <c r="E153" s="10"/>
      <c r="F153" s="10"/>
      <c r="G153" s="10"/>
      <c r="H153" s="10"/>
      <c r="I153" s="10"/>
    </row>
    <row r="154" spans="2:9" ht="12.75">
      <c r="B154" s="10"/>
      <c r="C154" s="10"/>
      <c r="D154" s="10"/>
      <c r="E154" s="10"/>
      <c r="F154" s="10"/>
      <c r="G154" s="10"/>
      <c r="H154" s="10"/>
      <c r="I154" s="10"/>
    </row>
    <row r="155" spans="2:9" ht="12.75">
      <c r="B155" s="9"/>
      <c r="C155" s="9"/>
      <c r="D155" s="9"/>
      <c r="E155" s="9"/>
      <c r="F155" s="9"/>
      <c r="G155" s="9"/>
      <c r="H155" s="9"/>
      <c r="I155" s="9"/>
    </row>
    <row r="156" spans="2:9" ht="12.75">
      <c r="B156" s="9"/>
      <c r="C156" s="9"/>
      <c r="D156" s="9"/>
      <c r="E156" s="9"/>
      <c r="F156" s="9"/>
      <c r="G156" s="9"/>
      <c r="H156" s="9"/>
      <c r="I156" s="9"/>
    </row>
    <row r="157" spans="2:9" ht="12.75">
      <c r="B157" s="9"/>
      <c r="C157" s="9"/>
      <c r="D157" s="9"/>
      <c r="E157" s="9"/>
      <c r="F157" s="9"/>
      <c r="G157" s="9"/>
      <c r="H157" s="9"/>
      <c r="I157" s="9"/>
    </row>
    <row r="158" spans="2:9" ht="12.75">
      <c r="B158" s="9"/>
      <c r="C158" s="9"/>
      <c r="D158" s="9"/>
      <c r="E158" s="9"/>
      <c r="F158" s="9"/>
      <c r="G158" s="9"/>
      <c r="H158" s="9"/>
      <c r="I158" s="9"/>
    </row>
    <row r="159" spans="2:9" ht="12.75">
      <c r="B159" s="9"/>
      <c r="C159" s="9"/>
      <c r="D159" s="9"/>
      <c r="E159" s="9"/>
      <c r="F159" s="9"/>
      <c r="G159" s="9"/>
      <c r="H159" s="9"/>
      <c r="I159" s="9"/>
    </row>
    <row r="160" spans="2:9" ht="12.75">
      <c r="B160" s="9"/>
      <c r="C160" s="9"/>
      <c r="D160" s="9"/>
      <c r="E160" s="9"/>
      <c r="F160" s="9"/>
      <c r="G160" s="9"/>
      <c r="H160" s="9"/>
      <c r="I160" s="9"/>
    </row>
    <row r="161" spans="2:9" ht="12.75">
      <c r="B161" s="9"/>
      <c r="C161" s="9"/>
      <c r="D161" s="9"/>
      <c r="E161" s="9"/>
      <c r="F161" s="9"/>
      <c r="G161" s="9"/>
      <c r="H161" s="9"/>
      <c r="I161" s="9"/>
    </row>
    <row r="162" spans="2:9" ht="12.75">
      <c r="B162" s="9"/>
      <c r="C162" s="9"/>
      <c r="D162" s="9"/>
      <c r="E162" s="9"/>
      <c r="F162" s="9"/>
      <c r="G162" s="9"/>
      <c r="H162" s="9"/>
      <c r="I162" s="9"/>
    </row>
    <row r="163" spans="2:9" ht="12.75">
      <c r="B163" s="9"/>
      <c r="C163" s="9"/>
      <c r="D163" s="9"/>
      <c r="E163" s="9"/>
      <c r="F163" s="9"/>
      <c r="G163" s="9"/>
      <c r="H163" s="9"/>
      <c r="I163" s="9"/>
    </row>
    <row r="164" spans="2:9" ht="12.75">
      <c r="B164" s="9"/>
      <c r="C164" s="9"/>
      <c r="D164" s="9"/>
      <c r="E164" s="9"/>
      <c r="F164" s="9"/>
      <c r="G164" s="9"/>
      <c r="H164" s="9"/>
      <c r="I164" s="9"/>
    </row>
    <row r="165" spans="2:9" ht="12.75">
      <c r="B165" s="9"/>
      <c r="C165" s="9"/>
      <c r="D165" s="9"/>
      <c r="E165" s="9"/>
      <c r="F165" s="9"/>
      <c r="G165" s="9"/>
      <c r="H165" s="9"/>
      <c r="I165" s="9"/>
    </row>
    <row r="166" spans="2:9" ht="12.75">
      <c r="B166" s="9"/>
      <c r="C166" s="9"/>
      <c r="D166" s="9"/>
      <c r="E166" s="9"/>
      <c r="F166" s="9"/>
      <c r="G166" s="9"/>
      <c r="H166" s="9"/>
      <c r="I166" s="9"/>
    </row>
    <row r="167" spans="2:9" ht="12.75">
      <c r="B167" s="9"/>
      <c r="C167" s="9"/>
      <c r="D167" s="9"/>
      <c r="E167" s="9"/>
      <c r="F167" s="9"/>
      <c r="G167" s="9"/>
      <c r="H167" s="9"/>
      <c r="I167" s="9"/>
    </row>
    <row r="168" spans="2:9" ht="12.75">
      <c r="B168" s="9"/>
      <c r="C168" s="9"/>
      <c r="D168" s="9"/>
      <c r="E168" s="9"/>
      <c r="F168" s="9"/>
      <c r="G168" s="9"/>
      <c r="H168" s="9"/>
      <c r="I168" s="9"/>
    </row>
    <row r="169" spans="2:9" ht="12.75">
      <c r="B169" s="9"/>
      <c r="C169" s="9"/>
      <c r="D169" s="9"/>
      <c r="E169" s="9"/>
      <c r="F169" s="9"/>
      <c r="G169" s="9"/>
      <c r="H169" s="9"/>
      <c r="I169" s="9"/>
    </row>
    <row r="170" spans="2:9" ht="12.75">
      <c r="B170" s="9"/>
      <c r="C170" s="9"/>
      <c r="D170" s="9"/>
      <c r="E170" s="9"/>
      <c r="F170" s="9"/>
      <c r="G170" s="9"/>
      <c r="H170" s="9"/>
      <c r="I170" s="9"/>
    </row>
    <row r="171" spans="2:9" ht="12.75">
      <c r="B171" s="9"/>
      <c r="C171" s="9"/>
      <c r="D171" s="9"/>
      <c r="E171" s="9"/>
      <c r="F171" s="9"/>
      <c r="G171" s="9"/>
      <c r="H171" s="9"/>
      <c r="I171" s="9"/>
    </row>
    <row r="172" spans="2:9" ht="12.75">
      <c r="B172" s="9"/>
      <c r="C172" s="9"/>
      <c r="D172" s="9"/>
      <c r="E172" s="9"/>
      <c r="F172" s="9"/>
      <c r="G172" s="9"/>
      <c r="H172" s="9"/>
      <c r="I172" s="9"/>
    </row>
    <row r="173" spans="2:9" ht="12.75">
      <c r="B173" s="9"/>
      <c r="C173" s="9"/>
      <c r="D173" s="9"/>
      <c r="E173" s="9"/>
      <c r="F173" s="9"/>
      <c r="G173" s="9"/>
      <c r="H173" s="9"/>
      <c r="I173" s="9"/>
    </row>
    <row r="174" spans="2:9" ht="12.75">
      <c r="B174" s="9"/>
      <c r="C174" s="9"/>
      <c r="D174" s="9"/>
      <c r="E174" s="9"/>
      <c r="F174" s="9"/>
      <c r="G174" s="9"/>
      <c r="H174" s="9"/>
      <c r="I174" s="9"/>
    </row>
    <row r="175" spans="2:9" ht="12.75">
      <c r="B175" s="9"/>
      <c r="C175" s="9"/>
      <c r="D175" s="9"/>
      <c r="E175" s="9"/>
      <c r="F175" s="9"/>
      <c r="G175" s="9"/>
      <c r="H175" s="9"/>
      <c r="I175" s="9"/>
    </row>
    <row r="176" spans="2:9" ht="12.75">
      <c r="B176" s="9"/>
      <c r="C176" s="9"/>
      <c r="D176" s="9"/>
      <c r="E176" s="9"/>
      <c r="F176" s="9"/>
      <c r="G176" s="9"/>
      <c r="H176" s="9"/>
      <c r="I176" s="9"/>
    </row>
    <row r="177" spans="2:9" ht="12.75">
      <c r="B177" s="9"/>
      <c r="C177" s="9"/>
      <c r="D177" s="9"/>
      <c r="E177" s="9"/>
      <c r="F177" s="9"/>
      <c r="G177" s="9"/>
      <c r="H177" s="9"/>
      <c r="I177" s="9"/>
    </row>
    <row r="178" spans="2:9" ht="12.75">
      <c r="B178" s="9"/>
      <c r="C178" s="9"/>
      <c r="D178" s="9"/>
      <c r="E178" s="9"/>
      <c r="F178" s="9"/>
      <c r="G178" s="9"/>
      <c r="H178" s="9"/>
      <c r="I178" s="9"/>
    </row>
    <row r="179" spans="2:9" ht="12.75">
      <c r="B179" s="9"/>
      <c r="C179" s="9"/>
      <c r="D179" s="9"/>
      <c r="E179" s="9"/>
      <c r="F179" s="9"/>
      <c r="G179" s="9"/>
      <c r="H179" s="9"/>
      <c r="I179" s="9"/>
    </row>
    <row r="180" spans="2:9" ht="12.75">
      <c r="B180" s="9"/>
      <c r="C180" s="9"/>
      <c r="D180" s="9"/>
      <c r="E180" s="9"/>
      <c r="F180" s="9"/>
      <c r="G180" s="9"/>
      <c r="H180" s="9"/>
      <c r="I180" s="9"/>
    </row>
    <row r="181" spans="2:9" ht="12.75">
      <c r="B181" s="9"/>
      <c r="C181" s="9"/>
      <c r="D181" s="9"/>
      <c r="E181" s="9"/>
      <c r="F181" s="9"/>
      <c r="G181" s="9"/>
      <c r="H181" s="9"/>
      <c r="I181" s="9"/>
    </row>
    <row r="182" spans="2:9" ht="12.75">
      <c r="B182" s="9"/>
      <c r="C182" s="9"/>
      <c r="D182" s="9"/>
      <c r="E182" s="9"/>
      <c r="F182" s="9"/>
      <c r="G182" s="9"/>
      <c r="H182" s="9"/>
      <c r="I182" s="9"/>
    </row>
    <row r="183" spans="2:9" ht="12.75">
      <c r="B183" s="9"/>
      <c r="C183" s="9"/>
      <c r="D183" s="9"/>
      <c r="E183" s="9"/>
      <c r="F183" s="9"/>
      <c r="G183" s="9"/>
      <c r="H183" s="9"/>
      <c r="I183" s="9"/>
    </row>
    <row r="184" spans="2:9" ht="12.75">
      <c r="B184" s="9"/>
      <c r="C184" s="9"/>
      <c r="D184" s="9"/>
      <c r="E184" s="9"/>
      <c r="F184" s="9"/>
      <c r="G184" s="9"/>
      <c r="H184" s="9"/>
      <c r="I184" s="9"/>
    </row>
    <row r="185" spans="2:9" ht="12.75">
      <c r="B185" s="9"/>
      <c r="C185" s="9"/>
      <c r="D185" s="9"/>
      <c r="E185" s="9"/>
      <c r="F185" s="9"/>
      <c r="G185" s="9"/>
      <c r="H185" s="9"/>
      <c r="I185" s="9"/>
    </row>
    <row r="186" spans="2:9" ht="12.75">
      <c r="B186" s="9"/>
      <c r="C186" s="9"/>
      <c r="D186" s="9"/>
      <c r="E186" s="9"/>
      <c r="F186" s="9"/>
      <c r="G186" s="9"/>
      <c r="H186" s="9"/>
      <c r="I186" s="9"/>
    </row>
    <row r="187" spans="2:9" ht="12.75">
      <c r="B187" s="9"/>
      <c r="C187" s="9"/>
      <c r="D187" s="9"/>
      <c r="E187" s="9"/>
      <c r="F187" s="9"/>
      <c r="G187" s="9"/>
      <c r="H187" s="9"/>
      <c r="I187" s="9"/>
    </row>
    <row r="188" spans="2:9" ht="12.75">
      <c r="B188" s="9"/>
      <c r="C188" s="9"/>
      <c r="D188" s="9"/>
      <c r="E188" s="9"/>
      <c r="F188" s="9"/>
      <c r="G188" s="9"/>
      <c r="H188" s="9"/>
      <c r="I188" s="9"/>
    </row>
    <row r="189" spans="2:9" ht="12.75">
      <c r="B189" s="9"/>
      <c r="C189" s="9"/>
      <c r="D189" s="9"/>
      <c r="E189" s="9"/>
      <c r="F189" s="9"/>
      <c r="G189" s="9"/>
      <c r="H189" s="9"/>
      <c r="I189" s="9"/>
    </row>
    <row r="190" spans="2:9" ht="12.75">
      <c r="B190" s="9"/>
      <c r="C190" s="9"/>
      <c r="D190" s="9"/>
      <c r="E190" s="9"/>
      <c r="F190" s="9"/>
      <c r="G190" s="9"/>
      <c r="H190" s="9"/>
      <c r="I190" s="9"/>
    </row>
    <row r="191" spans="2:9" ht="12.75">
      <c r="B191" s="9"/>
      <c r="C191" s="9"/>
      <c r="D191" s="9"/>
      <c r="E191" s="9"/>
      <c r="F191" s="9"/>
      <c r="G191" s="9"/>
      <c r="H191" s="9"/>
      <c r="I191" s="9"/>
    </row>
    <row r="192" spans="2:9" ht="12.75">
      <c r="B192" s="9"/>
      <c r="C192" s="9"/>
      <c r="D192" s="9"/>
      <c r="E192" s="9"/>
      <c r="F192" s="9"/>
      <c r="G192" s="9"/>
      <c r="H192" s="9"/>
      <c r="I192" s="9"/>
    </row>
    <row r="193" spans="2:9" ht="12.75">
      <c r="B193" s="9"/>
      <c r="C193" s="9"/>
      <c r="D193" s="9"/>
      <c r="E193" s="9"/>
      <c r="F193" s="9"/>
      <c r="G193" s="9"/>
      <c r="H193" s="9"/>
      <c r="I193" s="9"/>
    </row>
    <row r="194" spans="2:9" ht="12.75">
      <c r="B194" s="9"/>
      <c r="C194" s="9"/>
      <c r="D194" s="9"/>
      <c r="E194" s="9"/>
      <c r="F194" s="9"/>
      <c r="G194" s="9"/>
      <c r="H194" s="9"/>
      <c r="I194" s="9"/>
    </row>
    <row r="195" spans="2:9" ht="12.75">
      <c r="B195" s="9"/>
      <c r="C195" s="9"/>
      <c r="D195" s="9"/>
      <c r="E195" s="9"/>
      <c r="F195" s="9"/>
      <c r="G195" s="9"/>
      <c r="H195" s="9"/>
      <c r="I195" s="9"/>
    </row>
    <row r="196" spans="2:9" ht="12.75">
      <c r="B196" s="9"/>
      <c r="C196" s="9"/>
      <c r="D196" s="9"/>
      <c r="E196" s="9"/>
      <c r="F196" s="9"/>
      <c r="G196" s="9"/>
      <c r="H196" s="9"/>
      <c r="I196" s="9"/>
    </row>
    <row r="197" spans="2:9" ht="12.75">
      <c r="B197" s="9"/>
      <c r="C197" s="9"/>
      <c r="D197" s="9"/>
      <c r="E197" s="9"/>
      <c r="F197" s="9"/>
      <c r="G197" s="9"/>
      <c r="H197" s="9"/>
      <c r="I197" s="9"/>
    </row>
    <row r="198" spans="2:9" ht="12.75">
      <c r="B198" s="9"/>
      <c r="C198" s="9"/>
      <c r="D198" s="9"/>
      <c r="E198" s="9"/>
      <c r="F198" s="9"/>
      <c r="G198" s="9"/>
      <c r="H198" s="9"/>
      <c r="I198" s="9"/>
    </row>
    <row r="199" spans="2:9" ht="12.75">
      <c r="B199" s="9"/>
      <c r="C199" s="9"/>
      <c r="D199" s="9"/>
      <c r="E199" s="9"/>
      <c r="F199" s="9"/>
      <c r="G199" s="9"/>
      <c r="H199" s="9"/>
      <c r="I199" s="9"/>
    </row>
    <row r="200" spans="2:9" ht="12.75">
      <c r="B200" s="9"/>
      <c r="C200" s="9"/>
      <c r="D200" s="9"/>
      <c r="E200" s="9"/>
      <c r="F200" s="9"/>
      <c r="G200" s="9"/>
      <c r="H200" s="9"/>
      <c r="I200" s="9"/>
    </row>
    <row r="201" spans="2:9" ht="12.75">
      <c r="B201" s="9"/>
      <c r="C201" s="9"/>
      <c r="D201" s="9"/>
      <c r="E201" s="9"/>
      <c r="F201" s="9"/>
      <c r="G201" s="9"/>
      <c r="H201" s="9"/>
      <c r="I201" s="9"/>
    </row>
    <row r="202" spans="2:9" ht="12.75">
      <c r="B202" s="9"/>
      <c r="C202" s="9"/>
      <c r="D202" s="9"/>
      <c r="E202" s="9"/>
      <c r="F202" s="9"/>
      <c r="G202" s="9"/>
      <c r="H202" s="9"/>
      <c r="I202" s="9"/>
    </row>
    <row r="203" spans="2:9" ht="12.75">
      <c r="B203" s="9"/>
      <c r="C203" s="9"/>
      <c r="D203" s="9"/>
      <c r="E203" s="9"/>
      <c r="F203" s="9"/>
      <c r="G203" s="9"/>
      <c r="H203" s="9"/>
      <c r="I203" s="9"/>
    </row>
    <row r="204" spans="2:9" ht="12.75">
      <c r="B204" s="9"/>
      <c r="C204" s="9"/>
      <c r="D204" s="9"/>
      <c r="E204" s="9"/>
      <c r="F204" s="9"/>
      <c r="G204" s="9"/>
      <c r="H204" s="9"/>
      <c r="I204" s="9"/>
    </row>
    <row r="205" spans="2:9" ht="12.75">
      <c r="B205" s="9"/>
      <c r="C205" s="9"/>
      <c r="D205" s="9"/>
      <c r="E205" s="9"/>
      <c r="F205" s="9"/>
      <c r="G205" s="9"/>
      <c r="H205" s="9"/>
      <c r="I205" s="9"/>
    </row>
    <row r="206" spans="2:9" ht="12.75">
      <c r="B206" s="9"/>
      <c r="C206" s="9"/>
      <c r="D206" s="9"/>
      <c r="E206" s="9"/>
      <c r="F206" s="9"/>
      <c r="G206" s="9"/>
      <c r="H206" s="9"/>
      <c r="I206" s="9"/>
    </row>
    <row r="207" spans="2:9" ht="12.75">
      <c r="B207" s="9"/>
      <c r="C207" s="9"/>
      <c r="D207" s="9"/>
      <c r="E207" s="9"/>
      <c r="F207" s="9"/>
      <c r="G207" s="9"/>
      <c r="H207" s="9"/>
      <c r="I207" s="9"/>
    </row>
    <row r="208" spans="2:9" ht="12.75">
      <c r="B208" s="9"/>
      <c r="C208" s="9"/>
      <c r="D208" s="9"/>
      <c r="E208" s="9"/>
      <c r="F208" s="9"/>
      <c r="G208" s="9"/>
      <c r="H208" s="9"/>
      <c r="I208" s="9"/>
    </row>
    <row r="209" spans="2:9" ht="12.75">
      <c r="B209" s="9"/>
      <c r="C209" s="9"/>
      <c r="D209" s="9"/>
      <c r="E209" s="9"/>
      <c r="F209" s="9"/>
      <c r="G209" s="9"/>
      <c r="H209" s="9"/>
      <c r="I209" s="9"/>
    </row>
    <row r="210" spans="2:9" ht="12.75">
      <c r="B210" s="9"/>
      <c r="C210" s="9"/>
      <c r="D210" s="9"/>
      <c r="E210" s="9"/>
      <c r="F210" s="9"/>
      <c r="G210" s="9"/>
      <c r="H210" s="9"/>
      <c r="I210" s="9"/>
    </row>
    <row r="211" spans="2:9" ht="12.75">
      <c r="B211" s="9"/>
      <c r="C211" s="9"/>
      <c r="D211" s="9"/>
      <c r="E211" s="9"/>
      <c r="F211" s="9"/>
      <c r="G211" s="9"/>
      <c r="H211" s="9"/>
      <c r="I211" s="9"/>
    </row>
    <row r="212" spans="2:9" ht="12.75">
      <c r="B212" s="9"/>
      <c r="C212" s="9"/>
      <c r="D212" s="9"/>
      <c r="E212" s="9"/>
      <c r="F212" s="9"/>
      <c r="G212" s="9"/>
      <c r="H212" s="9"/>
      <c r="I212" s="9"/>
    </row>
    <row r="213" spans="2:9" ht="12.75">
      <c r="B213" s="9"/>
      <c r="C213" s="9"/>
      <c r="D213" s="9"/>
      <c r="E213" s="9"/>
      <c r="F213" s="9"/>
      <c r="G213" s="9"/>
      <c r="H213" s="9"/>
      <c r="I213" s="9"/>
    </row>
    <row r="214" spans="2:9" ht="12.75">
      <c r="B214" s="9"/>
      <c r="C214" s="9"/>
      <c r="D214" s="9"/>
      <c r="E214" s="9"/>
      <c r="F214" s="9"/>
      <c r="G214" s="9"/>
      <c r="H214" s="9"/>
      <c r="I214" s="9"/>
    </row>
    <row r="215" spans="2:9" ht="12.75">
      <c r="B215" s="9"/>
      <c r="C215" s="9"/>
      <c r="D215" s="9"/>
      <c r="E215" s="9"/>
      <c r="F215" s="9"/>
      <c r="G215" s="9"/>
      <c r="H215" s="9"/>
      <c r="I215" s="9"/>
    </row>
    <row r="216" spans="2:9" ht="12.75">
      <c r="B216" s="9"/>
      <c r="C216" s="9"/>
      <c r="D216" s="9"/>
      <c r="E216" s="9"/>
      <c r="F216" s="9"/>
      <c r="G216" s="9"/>
      <c r="H216" s="9"/>
      <c r="I216" s="9"/>
    </row>
    <row r="217" spans="2:9" ht="12.75">
      <c r="B217" s="9"/>
      <c r="C217" s="9"/>
      <c r="D217" s="9"/>
      <c r="E217" s="9"/>
      <c r="F217" s="9"/>
      <c r="G217" s="9"/>
      <c r="H217" s="9"/>
      <c r="I217" s="9"/>
    </row>
    <row r="218" spans="2:9" ht="12.75">
      <c r="B218" s="9"/>
      <c r="C218" s="9"/>
      <c r="D218" s="9"/>
      <c r="E218" s="9"/>
      <c r="F218" s="9"/>
      <c r="G218" s="9"/>
      <c r="H218" s="9"/>
      <c r="I218" s="9"/>
    </row>
    <row r="219" spans="2:9" ht="12.75">
      <c r="B219" s="9"/>
      <c r="C219" s="9"/>
      <c r="D219" s="9"/>
      <c r="E219" s="9"/>
      <c r="F219" s="9"/>
      <c r="G219" s="9"/>
      <c r="H219" s="9"/>
      <c r="I219" s="9"/>
    </row>
    <row r="220" spans="2:9" ht="12.75">
      <c r="B220" s="9"/>
      <c r="C220" s="9"/>
      <c r="D220" s="9"/>
      <c r="E220" s="9"/>
      <c r="F220" s="9"/>
      <c r="G220" s="9"/>
      <c r="H220" s="9"/>
      <c r="I220" s="9"/>
    </row>
    <row r="221" spans="2:9" ht="12.75">
      <c r="B221" s="9"/>
      <c r="C221" s="9"/>
      <c r="D221" s="9"/>
      <c r="E221" s="9"/>
      <c r="F221" s="9"/>
      <c r="G221" s="9"/>
      <c r="H221" s="9"/>
      <c r="I221" s="9"/>
    </row>
    <row r="222" spans="2:9" ht="12.75">
      <c r="B222" s="9"/>
      <c r="C222" s="9"/>
      <c r="D222" s="9"/>
      <c r="E222" s="9"/>
      <c r="F222" s="9"/>
      <c r="G222" s="9"/>
      <c r="H222" s="9"/>
      <c r="I222" s="9"/>
    </row>
    <row r="223" spans="2:9" ht="12.75">
      <c r="B223" s="9"/>
      <c r="C223" s="9"/>
      <c r="D223" s="9"/>
      <c r="E223" s="9"/>
      <c r="F223" s="9"/>
      <c r="G223" s="9"/>
      <c r="H223" s="9"/>
      <c r="I223" s="9"/>
    </row>
    <row r="224" spans="2:9" ht="12.75">
      <c r="B224" s="9"/>
      <c r="C224" s="9"/>
      <c r="D224" s="9"/>
      <c r="E224" s="9"/>
      <c r="F224" s="9"/>
      <c r="G224" s="9"/>
      <c r="H224" s="9"/>
      <c r="I224" s="9"/>
    </row>
    <row r="225" spans="2:9" ht="12.75">
      <c r="B225" s="9"/>
      <c r="C225" s="9"/>
      <c r="D225" s="9"/>
      <c r="E225" s="9"/>
      <c r="F225" s="9"/>
      <c r="G225" s="9"/>
      <c r="H225" s="9"/>
      <c r="I225" s="9"/>
    </row>
    <row r="226" spans="2:9" ht="12.75">
      <c r="B226" s="9"/>
      <c r="C226" s="9"/>
      <c r="D226" s="9"/>
      <c r="E226" s="9"/>
      <c r="F226" s="9"/>
      <c r="G226" s="9"/>
      <c r="H226" s="9"/>
      <c r="I226" s="9"/>
    </row>
    <row r="227" spans="2:9" ht="12.75">
      <c r="B227" s="9"/>
      <c r="C227" s="9"/>
      <c r="D227" s="9"/>
      <c r="E227" s="9"/>
      <c r="F227" s="9"/>
      <c r="G227" s="9"/>
      <c r="H227" s="9"/>
      <c r="I227" s="9"/>
    </row>
    <row r="228" spans="2:9" ht="12.75">
      <c r="B228" s="9"/>
      <c r="C228" s="9"/>
      <c r="D228" s="9"/>
      <c r="E228" s="9"/>
      <c r="F228" s="9"/>
      <c r="G228" s="9"/>
      <c r="H228" s="9"/>
      <c r="I228" s="9"/>
    </row>
    <row r="229" spans="2:9" ht="12.75">
      <c r="B229" s="9"/>
      <c r="C229" s="9"/>
      <c r="D229" s="9"/>
      <c r="E229" s="9"/>
      <c r="F229" s="9"/>
      <c r="G229" s="9"/>
      <c r="H229" s="9"/>
      <c r="I229" s="9"/>
    </row>
    <row r="230" spans="2:9" ht="12.75">
      <c r="B230" s="9"/>
      <c r="C230" s="9"/>
      <c r="D230" s="9"/>
      <c r="E230" s="9"/>
      <c r="F230" s="9"/>
      <c r="G230" s="9"/>
      <c r="H230" s="9"/>
      <c r="I230" s="9"/>
    </row>
    <row r="231" spans="2:9" ht="12.75">
      <c r="B231" s="9"/>
      <c r="C231" s="9"/>
      <c r="D231" s="9"/>
      <c r="E231" s="9"/>
      <c r="F231" s="9"/>
      <c r="G231" s="9"/>
      <c r="H231" s="9"/>
      <c r="I231" s="9"/>
    </row>
    <row r="232" spans="2:9" ht="12.75">
      <c r="B232" s="9"/>
      <c r="C232" s="9"/>
      <c r="D232" s="9"/>
      <c r="E232" s="9"/>
      <c r="F232" s="9"/>
      <c r="G232" s="9"/>
      <c r="H232" s="9"/>
      <c r="I232" s="9"/>
    </row>
    <row r="233" spans="2:9" ht="12.75">
      <c r="B233" s="9"/>
      <c r="C233" s="9"/>
      <c r="D233" s="9"/>
      <c r="E233" s="9"/>
      <c r="F233" s="9"/>
      <c r="G233" s="9"/>
      <c r="H233" s="9"/>
      <c r="I233" s="9"/>
    </row>
    <row r="234" spans="2:9" ht="12.75">
      <c r="B234" s="9"/>
      <c r="C234" s="9"/>
      <c r="D234" s="9"/>
      <c r="E234" s="9"/>
      <c r="F234" s="9"/>
      <c r="G234" s="9"/>
      <c r="H234" s="9"/>
      <c r="I234" s="9"/>
    </row>
    <row r="235" spans="2:9" ht="12.75">
      <c r="B235" s="9"/>
      <c r="C235" s="9"/>
      <c r="D235" s="9"/>
      <c r="E235" s="9"/>
      <c r="F235" s="9"/>
      <c r="G235" s="9"/>
      <c r="H235" s="9"/>
      <c r="I235" s="9"/>
    </row>
    <row r="236" spans="2:9" ht="12.75">
      <c r="B236" s="9"/>
      <c r="C236" s="9"/>
      <c r="D236" s="9"/>
      <c r="E236" s="9"/>
      <c r="F236" s="9"/>
      <c r="G236" s="9"/>
      <c r="H236" s="9"/>
      <c r="I236" s="9"/>
    </row>
    <row r="237" spans="2:9" ht="12.75">
      <c r="B237" s="9"/>
      <c r="C237" s="9"/>
      <c r="D237" s="9"/>
      <c r="E237" s="9"/>
      <c r="F237" s="9"/>
      <c r="G237" s="9"/>
      <c r="H237" s="9"/>
      <c r="I237" s="9"/>
    </row>
    <row r="238" spans="2:9" ht="12.75">
      <c r="B238" s="9"/>
      <c r="C238" s="9"/>
      <c r="D238" s="9"/>
      <c r="E238" s="9"/>
      <c r="F238" s="9"/>
      <c r="G238" s="9"/>
      <c r="H238" s="9"/>
      <c r="I238" s="9"/>
    </row>
    <row r="239" spans="2:9" ht="12.75">
      <c r="B239" s="9"/>
      <c r="C239" s="9"/>
      <c r="D239" s="9"/>
      <c r="E239" s="9"/>
      <c r="F239" s="9"/>
      <c r="G239" s="9"/>
      <c r="H239" s="9"/>
      <c r="I239" s="9"/>
    </row>
    <row r="240" spans="2:9" ht="12.75">
      <c r="B240" s="9"/>
      <c r="C240" s="9"/>
      <c r="D240" s="9"/>
      <c r="E240" s="9"/>
      <c r="F240" s="9"/>
      <c r="G240" s="9"/>
      <c r="H240" s="9"/>
      <c r="I240" s="9"/>
    </row>
    <row r="241" spans="2:9" ht="12.75">
      <c r="B241" s="9"/>
      <c r="C241" s="9"/>
      <c r="D241" s="9"/>
      <c r="E241" s="9"/>
      <c r="F241" s="9"/>
      <c r="G241" s="9"/>
      <c r="H241" s="9"/>
      <c r="I241" s="9"/>
    </row>
    <row r="242" spans="2:9" ht="12.75">
      <c r="B242" s="9"/>
      <c r="C242" s="9"/>
      <c r="D242" s="9"/>
      <c r="E242" s="9"/>
      <c r="F242" s="9"/>
      <c r="G242" s="9"/>
      <c r="H242" s="9"/>
      <c r="I242" s="9"/>
    </row>
    <row r="243" spans="2:9" ht="12.75">
      <c r="B243" s="9"/>
      <c r="C243" s="9"/>
      <c r="D243" s="9"/>
      <c r="E243" s="9"/>
      <c r="F243" s="9"/>
      <c r="G243" s="9"/>
      <c r="H243" s="9"/>
      <c r="I243" s="9"/>
    </row>
    <row r="244" spans="2:9" ht="12.75">
      <c r="B244" s="9"/>
      <c r="C244" s="9"/>
      <c r="D244" s="9"/>
      <c r="E244" s="9"/>
      <c r="F244" s="9"/>
      <c r="G244" s="9"/>
      <c r="H244" s="9"/>
      <c r="I244" s="9"/>
    </row>
    <row r="245" spans="2:9" ht="12.75">
      <c r="B245" s="9"/>
      <c r="C245" s="9"/>
      <c r="D245" s="9"/>
      <c r="E245" s="9"/>
      <c r="F245" s="9"/>
      <c r="G245" s="9"/>
      <c r="H245" s="9"/>
      <c r="I245" s="9"/>
    </row>
    <row r="246" spans="2:9" ht="12.75">
      <c r="B246" s="9"/>
      <c r="C246" s="9"/>
      <c r="D246" s="9"/>
      <c r="E246" s="9"/>
      <c r="F246" s="9"/>
      <c r="G246" s="9"/>
      <c r="H246" s="9"/>
      <c r="I246" s="9"/>
    </row>
    <row r="247" spans="2:9" ht="12.75">
      <c r="B247" s="9"/>
      <c r="C247" s="9"/>
      <c r="D247" s="9"/>
      <c r="E247" s="9"/>
      <c r="F247" s="9"/>
      <c r="G247" s="9"/>
      <c r="H247" s="9"/>
      <c r="I247" s="9"/>
    </row>
    <row r="248" spans="2:9" ht="12.75">
      <c r="B248" s="9"/>
      <c r="C248" s="9"/>
      <c r="D248" s="9"/>
      <c r="E248" s="9"/>
      <c r="F248" s="9"/>
      <c r="G248" s="9"/>
      <c r="H248" s="9"/>
      <c r="I248" s="9"/>
    </row>
    <row r="249" spans="2:9" ht="12.75">
      <c r="B249" s="9"/>
      <c r="C249" s="9"/>
      <c r="D249" s="9"/>
      <c r="E249" s="9"/>
      <c r="F249" s="9"/>
      <c r="G249" s="9"/>
      <c r="H249" s="9"/>
      <c r="I249" s="9"/>
    </row>
    <row r="250" spans="2:9" ht="12.75">
      <c r="B250" s="9"/>
      <c r="C250" s="9"/>
      <c r="D250" s="9"/>
      <c r="E250" s="9"/>
      <c r="F250" s="9"/>
      <c r="G250" s="9"/>
      <c r="H250" s="9"/>
      <c r="I250" s="9"/>
    </row>
    <row r="251" spans="2:9" ht="12.75">
      <c r="B251" s="9"/>
      <c r="C251" s="9"/>
      <c r="D251" s="9"/>
      <c r="E251" s="9"/>
      <c r="F251" s="9"/>
      <c r="G251" s="9"/>
      <c r="H251" s="9"/>
      <c r="I251" s="9"/>
    </row>
    <row r="252" spans="2:9" ht="12.75">
      <c r="B252" s="9"/>
      <c r="C252" s="9"/>
      <c r="D252" s="9"/>
      <c r="E252" s="9"/>
      <c r="F252" s="9"/>
      <c r="G252" s="9"/>
      <c r="H252" s="9"/>
      <c r="I252" s="9"/>
    </row>
    <row r="253" spans="2:9" ht="12.75">
      <c r="B253" s="9"/>
      <c r="C253" s="9"/>
      <c r="D253" s="9"/>
      <c r="E253" s="9"/>
      <c r="F253" s="9"/>
      <c r="G253" s="9"/>
      <c r="H253" s="9"/>
      <c r="I253" s="9"/>
    </row>
    <row r="254" spans="2:9" ht="12.75">
      <c r="B254" s="9"/>
      <c r="C254" s="9"/>
      <c r="D254" s="9"/>
      <c r="E254" s="9"/>
      <c r="F254" s="9"/>
      <c r="G254" s="9"/>
      <c r="H254" s="9"/>
      <c r="I254" s="9"/>
    </row>
    <row r="255" spans="2:9" ht="12.75">
      <c r="B255" s="9"/>
      <c r="C255" s="9"/>
      <c r="D255" s="9"/>
      <c r="E255" s="9"/>
      <c r="F255" s="9"/>
      <c r="G255" s="9"/>
      <c r="H255" s="9"/>
      <c r="I255" s="9"/>
    </row>
    <row r="256" spans="2:9" ht="12.75">
      <c r="B256" s="9"/>
      <c r="C256" s="9"/>
      <c r="D256" s="9"/>
      <c r="E256" s="9"/>
      <c r="F256" s="9"/>
      <c r="G256" s="9"/>
      <c r="H256" s="9"/>
      <c r="I256" s="9"/>
    </row>
    <row r="257" spans="2:9" ht="12.75">
      <c r="B257" s="9"/>
      <c r="C257" s="9"/>
      <c r="D257" s="9"/>
      <c r="E257" s="9"/>
      <c r="F257" s="9"/>
      <c r="G257" s="9"/>
      <c r="H257" s="9"/>
      <c r="I257" s="9"/>
    </row>
    <row r="258" spans="2:9" ht="12.75">
      <c r="B258" s="9"/>
      <c r="C258" s="9"/>
      <c r="D258" s="9"/>
      <c r="E258" s="9"/>
      <c r="F258" s="9"/>
      <c r="G258" s="9"/>
      <c r="H258" s="9"/>
      <c r="I258" s="9"/>
    </row>
    <row r="259" spans="2:9" ht="12.75">
      <c r="B259" s="9"/>
      <c r="C259" s="9"/>
      <c r="D259" s="9"/>
      <c r="E259" s="9"/>
      <c r="F259" s="9"/>
      <c r="G259" s="9"/>
      <c r="H259" s="9"/>
      <c r="I259" s="9"/>
    </row>
    <row r="260" spans="2:9" ht="12.75">
      <c r="B260" s="9"/>
      <c r="C260" s="9"/>
      <c r="D260" s="9"/>
      <c r="E260" s="9"/>
      <c r="F260" s="9"/>
      <c r="G260" s="9"/>
      <c r="H260" s="9"/>
      <c r="I260" s="9"/>
    </row>
    <row r="261" spans="2:9" ht="12.75">
      <c r="B261" s="9"/>
      <c r="C261" s="9"/>
      <c r="D261" s="9"/>
      <c r="E261" s="9"/>
      <c r="F261" s="9"/>
      <c r="G261" s="9"/>
      <c r="H261" s="9"/>
      <c r="I261" s="9"/>
    </row>
  </sheetData>
  <sheetProtection/>
  <mergeCells count="33">
    <mergeCell ref="F47:G47"/>
    <mergeCell ref="C47:E47"/>
    <mergeCell ref="D64:E64"/>
    <mergeCell ref="D61:E61"/>
    <mergeCell ref="D63:E63"/>
    <mergeCell ref="F64:H64"/>
    <mergeCell ref="F62:H62"/>
    <mergeCell ref="D62:E62"/>
    <mergeCell ref="G63:H63"/>
    <mergeCell ref="C56:C57"/>
    <mergeCell ref="D56:E56"/>
    <mergeCell ref="B55:H55"/>
    <mergeCell ref="D60:E60"/>
    <mergeCell ref="D58:E58"/>
    <mergeCell ref="D59:E59"/>
    <mergeCell ref="D57:E57"/>
    <mergeCell ref="F58:H58"/>
    <mergeCell ref="B7:H7"/>
    <mergeCell ref="J21:N21"/>
    <mergeCell ref="J22:N22"/>
    <mergeCell ref="J23:N23"/>
    <mergeCell ref="J18:N18"/>
    <mergeCell ref="J19:N19"/>
    <mergeCell ref="J20:N20"/>
    <mergeCell ref="J7:P7"/>
    <mergeCell ref="J44:K44"/>
    <mergeCell ref="J45:K45"/>
    <mergeCell ref="J30:K41"/>
    <mergeCell ref="J27:L27"/>
    <mergeCell ref="J29:K29"/>
    <mergeCell ref="J42:K42"/>
    <mergeCell ref="J28:K28"/>
    <mergeCell ref="J43:K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slore ratio assay</dc:title>
  <dc:subject/>
  <dc:creator>EJ Nieuwenhuys</dc:creator>
  <cp:keywords>SRA;Excel finney dilution assay</cp:keywords>
  <dc:description/>
  <cp:lastModifiedBy>Ed Nieuwenhuys</cp:lastModifiedBy>
  <cp:lastPrinted>2009-03-02T09:32:38Z</cp:lastPrinted>
  <dcterms:created xsi:type="dcterms:W3CDTF">1999-11-23T14:32:48Z</dcterms:created>
  <dcterms:modified xsi:type="dcterms:W3CDTF">2021-08-16T13:01:03Z</dcterms:modified>
  <cp:category/>
  <cp:version/>
  <cp:contentType/>
  <cp:contentStatus/>
</cp:coreProperties>
</file>